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815" activeTab="5"/>
  </bookViews>
  <sheets>
    <sheet name="RESULT" sheetId="1" r:id="rId1"/>
    <sheet name="G.P.A." sheetId="2" r:id="rId2"/>
    <sheet name="GRADES" sheetId="3" r:id="rId3"/>
    <sheet name="GPA%" sheetId="4" r:id="rId4"/>
    <sheet name="GRADE%" sheetId="5" r:id="rId5"/>
    <sheet name="MRC" sheetId="6" r:id="rId6"/>
  </sheets>
  <definedNames>
    <definedName name="_xlnm._FilterDatabase" localSheetId="5" hidden="1">MRC!$A$1:$K$15</definedName>
    <definedName name="_xlnm._FilterDatabase" localSheetId="0" hidden="1">RESULT!$A$1:$AG$201</definedName>
    <definedName name="_xlnm.Print_Area" localSheetId="5">MRC!$A$1:$K$15</definedName>
  </definedNames>
  <calcPr calcId="125725"/>
</workbook>
</file>

<file path=xl/calcChain.xml><?xml version="1.0" encoding="utf-8"?>
<calcChain xmlns="http://schemas.openxmlformats.org/spreadsheetml/2006/main">
  <c r="K206" i="1"/>
  <c r="J206"/>
  <c r="I206"/>
  <c r="H206"/>
  <c r="G206"/>
  <c r="F206"/>
  <c r="F205"/>
  <c r="C208"/>
  <c r="G204"/>
  <c r="H204"/>
  <c r="I204"/>
  <c r="J204"/>
  <c r="K204"/>
  <c r="F204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"/>
  <c r="K5" i="6"/>
  <c r="H5"/>
  <c r="D5"/>
  <c r="C5"/>
  <c r="K15"/>
  <c r="H15"/>
  <c r="D15"/>
  <c r="C15"/>
  <c r="E15" s="1"/>
  <c r="K13"/>
  <c r="H13"/>
  <c r="D13"/>
  <c r="C13"/>
  <c r="K12"/>
  <c r="H12"/>
  <c r="D12"/>
  <c r="C12"/>
  <c r="E12" s="1"/>
  <c r="K11"/>
  <c r="H11"/>
  <c r="D11"/>
  <c r="C11"/>
  <c r="K14"/>
  <c r="H14"/>
  <c r="D14"/>
  <c r="C14"/>
  <c r="E14" s="1"/>
  <c r="K8"/>
  <c r="H8"/>
  <c r="D8"/>
  <c r="C8"/>
  <c r="K4"/>
  <c r="H4"/>
  <c r="D4"/>
  <c r="C4"/>
  <c r="E4" s="1"/>
  <c r="K10"/>
  <c r="H10"/>
  <c r="D10"/>
  <c r="C10"/>
  <c r="K9"/>
  <c r="D9"/>
  <c r="E9" s="1"/>
  <c r="C9"/>
  <c r="K6"/>
  <c r="D6"/>
  <c r="C6"/>
  <c r="K7"/>
  <c r="D7"/>
  <c r="E7" s="1"/>
  <c r="C7"/>
  <c r="K3"/>
  <c r="H3"/>
  <c r="D3"/>
  <c r="C3"/>
  <c r="AD6" i="5"/>
  <c r="AF6"/>
  <c r="AH6"/>
  <c r="AJ6"/>
  <c r="AL6"/>
  <c r="AN6"/>
  <c r="AP6"/>
  <c r="AD7"/>
  <c r="AE7"/>
  <c r="AF7"/>
  <c r="AG7"/>
  <c r="AH7"/>
  <c r="AI7"/>
  <c r="AJ7"/>
  <c r="AK7"/>
  <c r="AL7"/>
  <c r="AM7"/>
  <c r="AN7"/>
  <c r="AO7"/>
  <c r="AP7"/>
  <c r="P5" i="4"/>
  <c r="Q5"/>
  <c r="R5"/>
  <c r="S5"/>
  <c r="T5"/>
  <c r="U5"/>
  <c r="V5"/>
  <c r="W5"/>
  <c r="X5"/>
  <c r="Y5"/>
  <c r="Z5"/>
  <c r="AA5"/>
  <c r="AB5"/>
  <c r="P6"/>
  <c r="Q6"/>
  <c r="R6"/>
  <c r="S6"/>
  <c r="T6"/>
  <c r="U6"/>
  <c r="V6"/>
  <c r="W6"/>
  <c r="X6"/>
  <c r="Y6"/>
  <c r="Z6"/>
  <c r="AA6"/>
  <c r="AB6"/>
  <c r="BL3" i="1"/>
  <c r="AM8" i="5" s="1"/>
  <c r="BK3" i="1"/>
  <c r="X7" i="4" s="1"/>
  <c r="BJ3" i="1"/>
  <c r="AK8" i="5" s="1"/>
  <c r="BI3" i="1"/>
  <c r="V7" i="4" s="1"/>
  <c r="BH3" i="1"/>
  <c r="AI8" i="5" s="1"/>
  <c r="BG3" i="1"/>
  <c r="T7" i="4" s="1"/>
  <c r="BF3" i="1"/>
  <c r="AG8" i="5" s="1"/>
  <c r="BE3" i="1"/>
  <c r="R7" i="4" s="1"/>
  <c r="BD3" i="1"/>
  <c r="AE8" i="5" s="1"/>
  <c r="BC3" i="1"/>
  <c r="P7" i="4" s="1"/>
  <c r="A1" i="5"/>
  <c r="A2"/>
  <c r="B2"/>
  <c r="D2"/>
  <c r="F2"/>
  <c r="H2"/>
  <c r="J2"/>
  <c r="L2"/>
  <c r="N2"/>
  <c r="P2"/>
  <c r="R2"/>
  <c r="T2"/>
  <c r="V2"/>
  <c r="X2"/>
  <c r="Z2"/>
  <c r="A3"/>
  <c r="B3"/>
  <c r="D3"/>
  <c r="F3"/>
  <c r="H3"/>
  <c r="J3"/>
  <c r="L3"/>
  <c r="N3"/>
  <c r="P3"/>
  <c r="R3"/>
  <c r="T3"/>
  <c r="V3"/>
  <c r="X3"/>
  <c r="Z3"/>
  <c r="A4"/>
  <c r="B4"/>
  <c r="D4"/>
  <c r="F4"/>
  <c r="H4"/>
  <c r="J4"/>
  <c r="L4"/>
  <c r="N4"/>
  <c r="P4"/>
  <c r="R4"/>
  <c r="T4"/>
  <c r="V4"/>
  <c r="X4"/>
  <c r="Z4"/>
  <c r="A1" i="4"/>
  <c r="A2"/>
  <c r="A3"/>
  <c r="A4"/>
  <c r="A27"/>
  <c r="A5" i="3"/>
  <c r="A5" i="5" s="1"/>
  <c r="B5" i="3"/>
  <c r="B5" i="5" s="1"/>
  <c r="D5" i="3"/>
  <c r="F5" i="5" s="1"/>
  <c r="F5" i="3"/>
  <c r="J5" i="5" s="1"/>
  <c r="H5" i="3"/>
  <c r="N5" i="5" s="1"/>
  <c r="J5" i="3"/>
  <c r="R5" i="5" s="1"/>
  <c r="L5" i="3"/>
  <c r="V5" i="5" s="1"/>
  <c r="N5" i="3"/>
  <c r="Z5" i="5" s="1"/>
  <c r="B6" i="3"/>
  <c r="B6" i="5" s="1"/>
  <c r="C6" i="3"/>
  <c r="D6" i="5" s="1"/>
  <c r="D6" i="3"/>
  <c r="F6" i="5" s="1"/>
  <c r="E6" i="3"/>
  <c r="H6" i="5" s="1"/>
  <c r="F6" i="3"/>
  <c r="J6" i="5" s="1"/>
  <c r="G6" i="3"/>
  <c r="L6" i="5" s="1"/>
  <c r="H6" i="3"/>
  <c r="N6" i="5" s="1"/>
  <c r="I6" i="3"/>
  <c r="P6" i="5" s="1"/>
  <c r="J6" i="3"/>
  <c r="R6" i="5" s="1"/>
  <c r="K6" i="3"/>
  <c r="T6" i="5" s="1"/>
  <c r="L6" i="3"/>
  <c r="M6"/>
  <c r="A7"/>
  <c r="A7" i="5" s="1"/>
  <c r="A8" i="3"/>
  <c r="A8" i="5" s="1"/>
  <c r="A9" i="3"/>
  <c r="A9" i="5" s="1"/>
  <c r="A10" i="3"/>
  <c r="A10" i="5" s="1"/>
  <c r="A11" i="3"/>
  <c r="A11" i="5" s="1"/>
  <c r="A12" i="3"/>
  <c r="A12" i="5" s="1"/>
  <c r="A13" i="3"/>
  <c r="A13" i="5" s="1"/>
  <c r="A14" i="3"/>
  <c r="A14" i="5" s="1"/>
  <c r="A15" i="3"/>
  <c r="A15" i="5" s="1"/>
  <c r="A16" i="3"/>
  <c r="A16" i="5" s="1"/>
  <c r="AW12" i="1"/>
  <c r="K15" i="3" s="1"/>
  <c r="T15" i="5" s="1"/>
  <c r="AW11" i="1"/>
  <c r="K14" i="3" s="1"/>
  <c r="T14" i="5" s="1"/>
  <c r="AW10" i="1"/>
  <c r="K13" i="3" s="1"/>
  <c r="T13" i="5" s="1"/>
  <c r="AW9" i="1"/>
  <c r="K12" i="3" s="1"/>
  <c r="T12" i="5" s="1"/>
  <c r="AW8" i="1"/>
  <c r="K11" i="3" s="1"/>
  <c r="T11" i="5" s="1"/>
  <c r="AW7" i="1"/>
  <c r="K10" i="3" s="1"/>
  <c r="T10" i="5" s="1"/>
  <c r="AW6" i="1"/>
  <c r="K9" i="3" s="1"/>
  <c r="T9" i="5" s="1"/>
  <c r="AW5" i="1"/>
  <c r="K8" i="3" s="1"/>
  <c r="T8" i="5" s="1"/>
  <c r="AV4" i="1"/>
  <c r="J7" i="3" s="1"/>
  <c r="R7" i="5" s="1"/>
  <c r="AW4" i="1"/>
  <c r="K7" i="3" s="1"/>
  <c r="T7" i="5" s="1"/>
  <c r="AU12" i="1"/>
  <c r="I15" i="3" s="1"/>
  <c r="P15" i="5" s="1"/>
  <c r="AU11" i="1"/>
  <c r="I14" i="3" s="1"/>
  <c r="P14" i="5" s="1"/>
  <c r="AU10" i="1"/>
  <c r="I13" i="3" s="1"/>
  <c r="P13" i="5" s="1"/>
  <c r="AU9" i="1"/>
  <c r="I12" i="3" s="1"/>
  <c r="P12" i="5" s="1"/>
  <c r="AU8" i="1"/>
  <c r="I11" i="3" s="1"/>
  <c r="P11" i="5" s="1"/>
  <c r="AU7" i="1"/>
  <c r="I10" i="3" s="1"/>
  <c r="P10" i="5" s="1"/>
  <c r="AU6" i="1"/>
  <c r="I9" i="3" s="1"/>
  <c r="P9" i="5" s="1"/>
  <c r="AU5" i="1"/>
  <c r="I8" i="3" s="1"/>
  <c r="P8" i="5" s="1"/>
  <c r="AU4" i="1"/>
  <c r="I7" i="3" s="1"/>
  <c r="P7" i="5" s="1"/>
  <c r="AT4" i="1"/>
  <c r="H7" i="3" s="1"/>
  <c r="N7" i="5" s="1"/>
  <c r="AS11" i="1"/>
  <c r="G14" i="3" s="1"/>
  <c r="L14" i="5" s="1"/>
  <c r="AS10" i="1"/>
  <c r="G13" i="3" s="1"/>
  <c r="L13" i="5" s="1"/>
  <c r="AS9" i="1"/>
  <c r="G12" i="3" s="1"/>
  <c r="L12" i="5" s="1"/>
  <c r="AS8" i="1"/>
  <c r="G11" i="3" s="1"/>
  <c r="L11" i="5" s="1"/>
  <c r="AS7" i="1"/>
  <c r="G10" i="3" s="1"/>
  <c r="L10" i="5" s="1"/>
  <c r="AS6" i="1"/>
  <c r="G9" i="3" s="1"/>
  <c r="L9" i="5" s="1"/>
  <c r="AS5" i="1"/>
  <c r="G8" i="3" s="1"/>
  <c r="L8" i="5" s="1"/>
  <c r="AS12" i="1"/>
  <c r="G15" i="3" s="1"/>
  <c r="L15" i="5" s="1"/>
  <c r="AS4" i="1"/>
  <c r="G7" i="3" s="1"/>
  <c r="L7" i="5" s="1"/>
  <c r="AR4" i="1"/>
  <c r="F7" i="3" s="1"/>
  <c r="J7" i="5" s="1"/>
  <c r="AQ12" i="1"/>
  <c r="E15" i="3" s="1"/>
  <c r="H15" i="5" s="1"/>
  <c r="AQ11" i="1"/>
  <c r="E14" i="3" s="1"/>
  <c r="H14" i="5" s="1"/>
  <c r="AQ10" i="1"/>
  <c r="E13" i="3" s="1"/>
  <c r="H13" i="5" s="1"/>
  <c r="AQ9" i="1"/>
  <c r="E12" i="3" s="1"/>
  <c r="H12" i="5" s="1"/>
  <c r="AQ8" i="1"/>
  <c r="E11" i="3" s="1"/>
  <c r="H11" i="5" s="1"/>
  <c r="AQ7" i="1"/>
  <c r="E10" i="3" s="1"/>
  <c r="H10" i="5" s="1"/>
  <c r="AQ6" i="1"/>
  <c r="E9" i="3" s="1"/>
  <c r="H9" i="5" s="1"/>
  <c r="AQ5" i="1"/>
  <c r="E8" i="3" s="1"/>
  <c r="H8" i="5" s="1"/>
  <c r="AQ4" i="1"/>
  <c r="E7" i="3" s="1"/>
  <c r="H7" i="5" s="1"/>
  <c r="D7" i="3"/>
  <c r="F7" i="5" s="1"/>
  <c r="AO12" i="1"/>
  <c r="C15" i="3" s="1"/>
  <c r="D15" i="5" s="1"/>
  <c r="AO11" i="1"/>
  <c r="C14" i="3" s="1"/>
  <c r="D14" i="5" s="1"/>
  <c r="AO10" i="1"/>
  <c r="C13" i="3" s="1"/>
  <c r="D13" i="5" s="1"/>
  <c r="AO9" i="1"/>
  <c r="C12" i="3" s="1"/>
  <c r="D12" i="5" s="1"/>
  <c r="AO8" i="1"/>
  <c r="C11" i="3" s="1"/>
  <c r="D11" i="5" s="1"/>
  <c r="AO7" i="1"/>
  <c r="C10" i="3" s="1"/>
  <c r="D10" i="5" s="1"/>
  <c r="AO6" i="1"/>
  <c r="C9" i="3" s="1"/>
  <c r="D9" i="5" s="1"/>
  <c r="AO5" i="1"/>
  <c r="C8" i="3" s="1"/>
  <c r="D8" i="5" s="1"/>
  <c r="AO4" i="1"/>
  <c r="C7" i="3" s="1"/>
  <c r="D7" i="5" s="1"/>
  <c r="AN4" i="1"/>
  <c r="AV12"/>
  <c r="J15" i="3" s="1"/>
  <c r="R15" i="5" s="1"/>
  <c r="AV11" i="1"/>
  <c r="J14" i="3" s="1"/>
  <c r="R14" i="5" s="1"/>
  <c r="AV10" i="1"/>
  <c r="J13" i="3" s="1"/>
  <c r="R13" i="5" s="1"/>
  <c r="AV9" i="1"/>
  <c r="J12" i="3" s="1"/>
  <c r="R12" i="5" s="1"/>
  <c r="AV8" i="1"/>
  <c r="J11" i="3" s="1"/>
  <c r="R11" i="5" s="1"/>
  <c r="AV7" i="1"/>
  <c r="J10" i="3" s="1"/>
  <c r="R10" i="5" s="1"/>
  <c r="AV6" i="1"/>
  <c r="J9" i="3" s="1"/>
  <c r="R9" i="5" s="1"/>
  <c r="AV5" i="1"/>
  <c r="J8" i="3" s="1"/>
  <c r="R8" i="5" s="1"/>
  <c r="AT12" i="1"/>
  <c r="H15" i="3" s="1"/>
  <c r="N15" i="5" s="1"/>
  <c r="AT11" i="1"/>
  <c r="H14" i="3" s="1"/>
  <c r="N14" i="5" s="1"/>
  <c r="AT10" i="1"/>
  <c r="H13" i="3" s="1"/>
  <c r="N13" i="5" s="1"/>
  <c r="AT9" i="1"/>
  <c r="H12" i="3" s="1"/>
  <c r="N12" i="5" s="1"/>
  <c r="AT8" i="1"/>
  <c r="H11" i="3" s="1"/>
  <c r="N11" i="5" s="1"/>
  <c r="AT7" i="1"/>
  <c r="H10" i="3" s="1"/>
  <c r="N10" i="5" s="1"/>
  <c r="AT6" i="1"/>
  <c r="H9" i="3" s="1"/>
  <c r="N9" i="5" s="1"/>
  <c r="AT5" i="1"/>
  <c r="H8" i="3" s="1"/>
  <c r="N8" i="5" s="1"/>
  <c r="AR12" i="1"/>
  <c r="F15" i="3" s="1"/>
  <c r="J15" i="5" s="1"/>
  <c r="AR11" i="1"/>
  <c r="F14" i="3" s="1"/>
  <c r="J14" i="5" s="1"/>
  <c r="AR10" i="1"/>
  <c r="F13" i="3" s="1"/>
  <c r="J13" i="5" s="1"/>
  <c r="AR9" i="1"/>
  <c r="F12" i="3" s="1"/>
  <c r="J12" i="5" s="1"/>
  <c r="AR8" i="1"/>
  <c r="F11" i="3" s="1"/>
  <c r="J11" i="5" s="1"/>
  <c r="AR7" i="1"/>
  <c r="F10" i="3" s="1"/>
  <c r="J10" i="5" s="1"/>
  <c r="AR6" i="1"/>
  <c r="F9" i="3" s="1"/>
  <c r="J9" i="5" s="1"/>
  <c r="AR5" i="1"/>
  <c r="F8" i="3" s="1"/>
  <c r="J8" i="5" s="1"/>
  <c r="AP12" i="1"/>
  <c r="D15" i="3" s="1"/>
  <c r="F15" i="5" s="1"/>
  <c r="AP11" i="1"/>
  <c r="D14" i="3" s="1"/>
  <c r="F14" i="5" s="1"/>
  <c r="AP10" i="1"/>
  <c r="D13" i="3" s="1"/>
  <c r="F13" i="5" s="1"/>
  <c r="AP9" i="1"/>
  <c r="D12" i="3" s="1"/>
  <c r="F12" i="5" s="1"/>
  <c r="AP8" i="1"/>
  <c r="D11" i="3" s="1"/>
  <c r="F11" i="5" s="1"/>
  <c r="AP7" i="1"/>
  <c r="D10" i="3" s="1"/>
  <c r="F10" i="5" s="1"/>
  <c r="AP6" i="1"/>
  <c r="D9" i="3" s="1"/>
  <c r="F9" i="5" s="1"/>
  <c r="AP5" i="1"/>
  <c r="D8" i="3" s="1"/>
  <c r="F8" i="5" s="1"/>
  <c r="AN12" i="1"/>
  <c r="B15" i="3" s="1"/>
  <c r="B15" i="5" s="1"/>
  <c r="AN11" i="1"/>
  <c r="B14" i="3" s="1"/>
  <c r="B14" i="5" s="1"/>
  <c r="AN10" i="1"/>
  <c r="B13" i="3" s="1"/>
  <c r="B13" i="5" s="1"/>
  <c r="AN9" i="1"/>
  <c r="B12" i="3" s="1"/>
  <c r="B12" i="5" s="1"/>
  <c r="AN8" i="1"/>
  <c r="B11" i="3" s="1"/>
  <c r="B11" i="5" s="1"/>
  <c r="AN7" i="1"/>
  <c r="B10" i="3" s="1"/>
  <c r="B10" i="5" s="1"/>
  <c r="AN6" i="1"/>
  <c r="B9" i="3" s="1"/>
  <c r="B9" i="5" s="1"/>
  <c r="AN5" i="1"/>
  <c r="B8" i="3" s="1"/>
  <c r="B8" i="5" s="1"/>
  <c r="A5" i="2"/>
  <c r="A5" i="4" s="1"/>
  <c r="B5" i="2"/>
  <c r="B5" i="4" s="1"/>
  <c r="D5" i="2"/>
  <c r="D5" i="4" s="1"/>
  <c r="F5" i="2"/>
  <c r="F5" i="4" s="1"/>
  <c r="H5" i="2"/>
  <c r="H5" i="4" s="1"/>
  <c r="J5" i="2"/>
  <c r="J5" i="4" s="1"/>
  <c r="L5" i="2"/>
  <c r="L5" i="4" s="1"/>
  <c r="N5" i="2"/>
  <c r="N5" i="4" s="1"/>
  <c r="B6" i="2"/>
  <c r="B6" i="4" s="1"/>
  <c r="C6" i="2"/>
  <c r="C6" i="4" s="1"/>
  <c r="D6" i="2"/>
  <c r="D6" i="4" s="1"/>
  <c r="E6" i="2"/>
  <c r="E6" i="4" s="1"/>
  <c r="F6" i="2"/>
  <c r="F6" i="4" s="1"/>
  <c r="G6" i="2"/>
  <c r="G6" i="4" s="1"/>
  <c r="H6" i="2"/>
  <c r="H6" i="4" s="1"/>
  <c r="I6" i="2"/>
  <c r="I6" i="4" s="1"/>
  <c r="J6" i="2"/>
  <c r="J6" i="4" s="1"/>
  <c r="K6" i="2"/>
  <c r="K6" i="4" s="1"/>
  <c r="L6" i="2"/>
  <c r="L6" i="4" s="1"/>
  <c r="M6" i="2"/>
  <c r="M6" i="4" s="1"/>
  <c r="A7" i="2"/>
  <c r="A7" i="4" s="1"/>
  <c r="A8" i="2"/>
  <c r="A8" i="4" s="1"/>
  <c r="A9" i="2"/>
  <c r="A9" i="4" s="1"/>
  <c r="A10" i="2"/>
  <c r="A10" i="4" s="1"/>
  <c r="A11" i="2"/>
  <c r="A11" i="4" s="1"/>
  <c r="A12" i="2"/>
  <c r="A12" i="4" s="1"/>
  <c r="A13" i="2"/>
  <c r="A13" i="4" s="1"/>
  <c r="A14" i="2"/>
  <c r="A14" i="4" s="1"/>
  <c r="A15" i="2"/>
  <c r="A15" i="4" s="1"/>
  <c r="A16" i="2"/>
  <c r="A16" i="4" s="1"/>
  <c r="A17" i="2"/>
  <c r="A17" i="4" s="1"/>
  <c r="A18" i="2"/>
  <c r="A18" i="4" s="1"/>
  <c r="A19" i="2"/>
  <c r="A19" i="4" s="1"/>
  <c r="A20" i="2"/>
  <c r="A20" i="4" s="1"/>
  <c r="A21" i="2"/>
  <c r="A21" i="4" s="1"/>
  <c r="A22" i="2"/>
  <c r="A22" i="4" s="1"/>
  <c r="A23" i="2"/>
  <c r="A23" i="4" s="1"/>
  <c r="A24" i="2"/>
  <c r="A24" i="4" s="1"/>
  <c r="A25" i="2"/>
  <c r="A25" i="4" s="1"/>
  <c r="A26" i="2"/>
  <c r="A26" i="4" s="1"/>
  <c r="AG4" i="1"/>
  <c r="AG5" s="1"/>
  <c r="AF4"/>
  <c r="AF5" s="1"/>
  <c r="AE4"/>
  <c r="I7" i="2" s="1"/>
  <c r="I7" i="4" s="1"/>
  <c r="AD4" i="1"/>
  <c r="H7" i="2" s="1"/>
  <c r="H7" i="4" s="1"/>
  <c r="AC4" i="1"/>
  <c r="G7" i="2" s="1"/>
  <c r="G7" i="4" s="1"/>
  <c r="AB4" i="1"/>
  <c r="F7" i="2" s="1"/>
  <c r="F7" i="4" s="1"/>
  <c r="AA4" i="1"/>
  <c r="E7" i="2" s="1"/>
  <c r="E7" i="4" s="1"/>
  <c r="Z4" i="1"/>
  <c r="D7" i="2" s="1"/>
  <c r="D7" i="4" s="1"/>
  <c r="Y4" i="1"/>
  <c r="C7" i="2" s="1"/>
  <c r="C7" i="4" s="1"/>
  <c r="X4" i="1"/>
  <c r="B7" i="2" s="1"/>
  <c r="B7" i="4" s="1"/>
  <c r="O1" i="1"/>
  <c r="O1" i="4" s="1"/>
  <c r="AB1" i="5" s="1"/>
  <c r="E3" i="6" l="1"/>
  <c r="E6"/>
  <c r="E10"/>
  <c r="E8"/>
  <c r="E11"/>
  <c r="E13"/>
  <c r="E5"/>
  <c r="L213" i="1"/>
  <c r="L210"/>
  <c r="L212"/>
  <c r="L214"/>
  <c r="L209"/>
  <c r="L207"/>
  <c r="L208" s="1"/>
  <c r="L211"/>
  <c r="E7" i="5"/>
  <c r="E9"/>
  <c r="E11"/>
  <c r="E13"/>
  <c r="E15"/>
  <c r="I7"/>
  <c r="I9"/>
  <c r="I11"/>
  <c r="I13"/>
  <c r="I15"/>
  <c r="M7"/>
  <c r="M8"/>
  <c r="M10"/>
  <c r="M12"/>
  <c r="M14"/>
  <c r="Q7"/>
  <c r="Q9"/>
  <c r="Q11"/>
  <c r="Q13"/>
  <c r="Q15"/>
  <c r="U9"/>
  <c r="U11"/>
  <c r="U13"/>
  <c r="U15"/>
  <c r="BM3" i="1"/>
  <c r="Y7" i="4"/>
  <c r="W7"/>
  <c r="U7"/>
  <c r="S7"/>
  <c r="Q7"/>
  <c r="AL8" i="5"/>
  <c r="S9" s="1"/>
  <c r="AJ8"/>
  <c r="O9" s="1"/>
  <c r="AH8"/>
  <c r="K9" s="1"/>
  <c r="AF8"/>
  <c r="G9" s="1"/>
  <c r="AD8"/>
  <c r="C9" s="1"/>
  <c r="E8"/>
  <c r="E10"/>
  <c r="E12"/>
  <c r="E14"/>
  <c r="I8"/>
  <c r="I10"/>
  <c r="I12"/>
  <c r="I14"/>
  <c r="M15"/>
  <c r="M9"/>
  <c r="M11"/>
  <c r="M13"/>
  <c r="Q8"/>
  <c r="Q10"/>
  <c r="Q12"/>
  <c r="Q14"/>
  <c r="U7"/>
  <c r="U8"/>
  <c r="U10"/>
  <c r="U12"/>
  <c r="U14"/>
  <c r="BN3" i="1"/>
  <c r="AX4"/>
  <c r="L7" i="3" s="1"/>
  <c r="V7" i="5" s="1"/>
  <c r="AF6" i="1"/>
  <c r="AG6"/>
  <c r="AG7" s="1"/>
  <c r="J9" i="2"/>
  <c r="J9" i="4" s="1"/>
  <c r="B7" i="3"/>
  <c r="B7" i="5" s="1"/>
  <c r="AN13" i="1"/>
  <c r="B16" i="3" s="1"/>
  <c r="B16" i="5" s="1"/>
  <c r="C16" s="1"/>
  <c r="AP13" i="1"/>
  <c r="D16" i="3" s="1"/>
  <c r="F16" i="5" s="1"/>
  <c r="G16" s="1"/>
  <c r="AR13" i="1"/>
  <c r="F16" i="3" s="1"/>
  <c r="J16" i="5" s="1"/>
  <c r="K16" s="1"/>
  <c r="AT13" i="1"/>
  <c r="H16" i="3" s="1"/>
  <c r="N16" i="5" s="1"/>
  <c r="O16" s="1"/>
  <c r="AV13" i="1"/>
  <c r="J16" i="3" s="1"/>
  <c r="R16" i="5" s="1"/>
  <c r="S16" s="1"/>
  <c r="AX7" i="1"/>
  <c r="L10" i="3" s="1"/>
  <c r="V10" i="5" s="1"/>
  <c r="AX9" i="1"/>
  <c r="L12" i="3" s="1"/>
  <c r="V12" i="5" s="1"/>
  <c r="AX11" i="1"/>
  <c r="L14" i="3" s="1"/>
  <c r="V14" i="5" s="1"/>
  <c r="AX6" i="1"/>
  <c r="L9" i="3" s="1"/>
  <c r="V9" i="5" s="1"/>
  <c r="AX8" i="1"/>
  <c r="L11" i="3" s="1"/>
  <c r="V11" i="5" s="1"/>
  <c r="AX10" i="1"/>
  <c r="L13" i="3" s="1"/>
  <c r="V13" i="5" s="1"/>
  <c r="AX12" i="1"/>
  <c r="L15" i="3" s="1"/>
  <c r="V15" i="5" s="1"/>
  <c r="AX5" i="1"/>
  <c r="L8" i="3" s="1"/>
  <c r="V8" i="5" s="1"/>
  <c r="AW13" i="1"/>
  <c r="K16" i="3" s="1"/>
  <c r="T16" i="5" s="1"/>
  <c r="U16" s="1"/>
  <c r="AY11" i="1"/>
  <c r="M14" i="3" s="1"/>
  <c r="X14" i="5" s="1"/>
  <c r="AU13" i="1"/>
  <c r="I16" i="3" s="1"/>
  <c r="P16" i="5" s="1"/>
  <c r="Q16" s="1"/>
  <c r="AS13" i="1"/>
  <c r="G16" i="3" s="1"/>
  <c r="L16" i="5" s="1"/>
  <c r="M16" s="1"/>
  <c r="AY12" i="1"/>
  <c r="AY10"/>
  <c r="AY9"/>
  <c r="AY8"/>
  <c r="M11" i="3" s="1"/>
  <c r="X11" i="5" s="1"/>
  <c r="AY7" i="1"/>
  <c r="AY6"/>
  <c r="AQ13"/>
  <c r="E16" i="3" s="1"/>
  <c r="H16" i="5" s="1"/>
  <c r="I16" s="1"/>
  <c r="AO13" i="1"/>
  <c r="C16" i="3" s="1"/>
  <c r="D16" i="5" s="1"/>
  <c r="E16" s="1"/>
  <c r="AY5" i="1"/>
  <c r="M8" i="3" s="1"/>
  <c r="X8" i="5" s="1"/>
  <c r="AY4" i="1"/>
  <c r="M7" i="3" s="1"/>
  <c r="X7" i="5" s="1"/>
  <c r="J8" i="2"/>
  <c r="J8" i="4" s="1"/>
  <c r="J7" i="2"/>
  <c r="J7" i="4" s="1"/>
  <c r="K8" i="2"/>
  <c r="K8" i="4" s="1"/>
  <c r="K7" i="2"/>
  <c r="K7" i="4" s="1"/>
  <c r="AA5" i="1"/>
  <c r="E8" i="2" s="1"/>
  <c r="E8" i="4" s="1"/>
  <c r="AC5" i="1"/>
  <c r="G8" i="2" s="1"/>
  <c r="G8" i="4" s="1"/>
  <c r="AE5" i="1"/>
  <c r="I8" i="2" s="1"/>
  <c r="I8" i="4" s="1"/>
  <c r="X5" i="1"/>
  <c r="AA6"/>
  <c r="E9" i="2" s="1"/>
  <c r="E9" i="4" s="1"/>
  <c r="Z5" i="1"/>
  <c r="D8" i="2" s="1"/>
  <c r="D8" i="4" s="1"/>
  <c r="AB5" i="1"/>
  <c r="F8" i="2" s="1"/>
  <c r="F8" i="4" s="1"/>
  <c r="AD5" i="1"/>
  <c r="H8" i="2" s="1"/>
  <c r="H8" i="4" s="1"/>
  <c r="Y5" i="1"/>
  <c r="Z6"/>
  <c r="D9" i="2" s="1"/>
  <c r="D9" i="4" s="1"/>
  <c r="AA7" i="1"/>
  <c r="AH4"/>
  <c r="AI4"/>
  <c r="M7" i="2" s="1"/>
  <c r="M7" i="4" s="1"/>
  <c r="P209" i="1"/>
  <c r="L215" l="1"/>
  <c r="S8" i="5"/>
  <c r="K7"/>
  <c r="K8"/>
  <c r="C7"/>
  <c r="S12"/>
  <c r="K12"/>
  <c r="C12"/>
  <c r="S14"/>
  <c r="S10"/>
  <c r="K14"/>
  <c r="K10"/>
  <c r="C14"/>
  <c r="C10"/>
  <c r="AE6" i="1"/>
  <c r="I9" i="2" s="1"/>
  <c r="I9" i="4" s="1"/>
  <c r="O14" i="5"/>
  <c r="G14"/>
  <c r="K9" i="2"/>
  <c r="K9" i="4" s="1"/>
  <c r="O10" i="5"/>
  <c r="G10"/>
  <c r="AF7" i="1"/>
  <c r="J10" i="2" s="1"/>
  <c r="J10" i="4" s="1"/>
  <c r="S15" i="5"/>
  <c r="S11"/>
  <c r="O15"/>
  <c r="O11"/>
  <c r="K15"/>
  <c r="K11"/>
  <c r="G15"/>
  <c r="G11"/>
  <c r="C15"/>
  <c r="C11"/>
  <c r="C8"/>
  <c r="AO8"/>
  <c r="Y8" s="1"/>
  <c r="AA7" i="4"/>
  <c r="Z7"/>
  <c r="AN8" i="5"/>
  <c r="W11" s="1"/>
  <c r="BO3" i="1"/>
  <c r="W12" i="5"/>
  <c r="O7"/>
  <c r="G7"/>
  <c r="O12"/>
  <c r="O8"/>
  <c r="G12"/>
  <c r="G8"/>
  <c r="S7"/>
  <c r="S13"/>
  <c r="O13"/>
  <c r="K13"/>
  <c r="G13"/>
  <c r="C13"/>
  <c r="AB6" i="1"/>
  <c r="F9" i="2" s="1"/>
  <c r="F9" i="4" s="1"/>
  <c r="K10" i="2"/>
  <c r="K10" i="4" s="1"/>
  <c r="AG8" i="1"/>
  <c r="K11" i="2" s="1"/>
  <c r="K11" i="4" s="1"/>
  <c r="AI5" i="1"/>
  <c r="M8" i="2" s="1"/>
  <c r="M8" i="4" s="1"/>
  <c r="AC6" i="1"/>
  <c r="G9" i="2" s="1"/>
  <c r="G9" i="4" s="1"/>
  <c r="AH5" i="1"/>
  <c r="L8" i="2" s="1"/>
  <c r="L8" i="4" s="1"/>
  <c r="AZ7" i="1"/>
  <c r="N10" i="3" s="1"/>
  <c r="Z10" i="5" s="1"/>
  <c r="M10" i="3"/>
  <c r="X10" i="5" s="1"/>
  <c r="AZ9" i="1"/>
  <c r="N12" i="3" s="1"/>
  <c r="Z12" i="5" s="1"/>
  <c r="M12" i="3"/>
  <c r="X12" i="5" s="1"/>
  <c r="AZ12" i="1"/>
  <c r="N15" i="3" s="1"/>
  <c r="Z15" i="5" s="1"/>
  <c r="M15" i="3"/>
  <c r="X15" i="5" s="1"/>
  <c r="AZ6" i="1"/>
  <c r="N9" i="3" s="1"/>
  <c r="Z9" i="5" s="1"/>
  <c r="M9" i="3"/>
  <c r="X9" i="5" s="1"/>
  <c r="AZ10" i="1"/>
  <c r="N13" i="3" s="1"/>
  <c r="Z13" i="5" s="1"/>
  <c r="M13" i="3"/>
  <c r="X13" i="5" s="1"/>
  <c r="AZ8" i="1"/>
  <c r="N11" i="3" s="1"/>
  <c r="Z11" i="5" s="1"/>
  <c r="AZ11" i="1"/>
  <c r="N14" i="3" s="1"/>
  <c r="Z14" i="5" s="1"/>
  <c r="AX13" i="1"/>
  <c r="L16" i="3" s="1"/>
  <c r="V16" i="5" s="1"/>
  <c r="AZ5" i="1"/>
  <c r="N8" i="3" s="1"/>
  <c r="Z8" i="5" s="1"/>
  <c r="AY13" i="1"/>
  <c r="M16" i="3" s="1"/>
  <c r="X16" i="5" s="1"/>
  <c r="Y16" s="1"/>
  <c r="AZ4" i="1"/>
  <c r="AJ4"/>
  <c r="N7" i="2" s="1"/>
  <c r="N7" i="4" s="1"/>
  <c r="L7" i="2"/>
  <c r="L7" i="4" s="1"/>
  <c r="AA8" i="1"/>
  <c r="E11" i="2" s="1"/>
  <c r="E11" i="4" s="1"/>
  <c r="E10" i="2"/>
  <c r="E10" i="4" s="1"/>
  <c r="Y6" i="1"/>
  <c r="C9" i="2" s="1"/>
  <c r="C9" i="4" s="1"/>
  <c r="C8" i="2"/>
  <c r="C8" i="4" s="1"/>
  <c r="X6" i="1"/>
  <c r="B9" i="2" s="1"/>
  <c r="B9" i="4" s="1"/>
  <c r="B8" i="2"/>
  <c r="B8" i="4" s="1"/>
  <c r="AB7" i="1"/>
  <c r="F10" i="2" s="1"/>
  <c r="F10" i="4" s="1"/>
  <c r="AD6" i="1"/>
  <c r="H9" i="2" s="1"/>
  <c r="H9" i="4" s="1"/>
  <c r="Z7" i="1"/>
  <c r="W16" i="5" l="1"/>
  <c r="Y7" i="1"/>
  <c r="C10" i="2" s="1"/>
  <c r="C10" i="4" s="1"/>
  <c r="AE7" i="1"/>
  <c r="I10" i="2" s="1"/>
  <c r="I10" i="4" s="1"/>
  <c r="Y11" i="5"/>
  <c r="W13"/>
  <c r="Y13"/>
  <c r="Y9"/>
  <c r="Y15"/>
  <c r="Y12"/>
  <c r="Y10"/>
  <c r="Y14"/>
  <c r="Y7"/>
  <c r="W7"/>
  <c r="W14"/>
  <c r="W15"/>
  <c r="AF8" i="1"/>
  <c r="AF9" s="1"/>
  <c r="J12" i="2" s="1"/>
  <c r="J12" i="4" s="1"/>
  <c r="AB7"/>
  <c r="AP8" i="5"/>
  <c r="AA11" s="1"/>
  <c r="W9"/>
  <c r="W8"/>
  <c r="W10"/>
  <c r="AJ5" i="1"/>
  <c r="N8" i="2" s="1"/>
  <c r="N8" i="4" s="1"/>
  <c r="AC7" i="1"/>
  <c r="G10" i="2" s="1"/>
  <c r="G10" i="4" s="1"/>
  <c r="AG9" i="1"/>
  <c r="AZ13"/>
  <c r="N16" i="3" s="1"/>
  <c r="Z16" i="5" s="1"/>
  <c r="N7" i="3"/>
  <c r="Z7" i="5" s="1"/>
  <c r="AA7" s="1"/>
  <c r="AB8" i="1"/>
  <c r="F11" i="2" s="1"/>
  <c r="F11" i="4" s="1"/>
  <c r="AA9" i="1"/>
  <c r="E12" i="2" s="1"/>
  <c r="E12" i="4" s="1"/>
  <c r="AC8" i="1"/>
  <c r="G11" i="2" s="1"/>
  <c r="G11" i="4" s="1"/>
  <c r="X7" i="1"/>
  <c r="Z8"/>
  <c r="D11" i="2" s="1"/>
  <c r="D11" i="4" s="1"/>
  <c r="D10" i="2"/>
  <c r="D10" i="4" s="1"/>
  <c r="AI6" i="1"/>
  <c r="AD7"/>
  <c r="H10" i="2" s="1"/>
  <c r="H10" i="4" s="1"/>
  <c r="Y8" i="1"/>
  <c r="C11" i="2" s="1"/>
  <c r="C11" i="4" s="1"/>
  <c r="AE8" i="1" l="1"/>
  <c r="I11" i="2" s="1"/>
  <c r="I11" i="4" s="1"/>
  <c r="Z9" i="1"/>
  <c r="D12" i="2" s="1"/>
  <c r="D12" i="4" s="1"/>
  <c r="AA14" i="5"/>
  <c r="AA15"/>
  <c r="AA16"/>
  <c r="AA10"/>
  <c r="AA13"/>
  <c r="AI7" i="1"/>
  <c r="M10" i="2" s="1"/>
  <c r="M10" i="4" s="1"/>
  <c r="J11" i="2"/>
  <c r="J11" i="4" s="1"/>
  <c r="AA8" i="5"/>
  <c r="AA12"/>
  <c r="AA9"/>
  <c r="AF10" i="1"/>
  <c r="AF11" s="1"/>
  <c r="AC9"/>
  <c r="G12" i="2" s="1"/>
  <c r="G12" i="4" s="1"/>
  <c r="K12" i="2"/>
  <c r="K12" i="4" s="1"/>
  <c r="Z10" i="1"/>
  <c r="D13" i="2" s="1"/>
  <c r="D13" i="4" s="1"/>
  <c r="AB9" i="1"/>
  <c r="AG10"/>
  <c r="M9" i="2"/>
  <c r="M9" i="4" s="1"/>
  <c r="AA10" i="1"/>
  <c r="E13" i="2" s="1"/>
  <c r="E13" i="4" s="1"/>
  <c r="B10" i="2"/>
  <c r="B10" i="4" s="1"/>
  <c r="X8" i="1"/>
  <c r="Y9"/>
  <c r="C12" i="2" s="1"/>
  <c r="C12" i="4" s="1"/>
  <c r="AD8" i="1"/>
  <c r="H11" i="2" s="1"/>
  <c r="H11" i="4" s="1"/>
  <c r="AE9" i="1"/>
  <c r="I12" i="2" s="1"/>
  <c r="I12" i="4" s="1"/>
  <c r="Z11" i="1"/>
  <c r="D14" i="2" s="1"/>
  <c r="D14" i="4" s="1"/>
  <c r="AI8" i="1"/>
  <c r="M11" i="2" s="1"/>
  <c r="M11" i="4" s="1"/>
  <c r="AC10" i="1" l="1"/>
  <c r="G13" i="2" s="1"/>
  <c r="G13" i="4" s="1"/>
  <c r="J13" i="2"/>
  <c r="J13" i="4" s="1"/>
  <c r="AF12" i="1"/>
  <c r="AF13" s="1"/>
  <c r="J14" i="2"/>
  <c r="J14" i="4" s="1"/>
  <c r="Y10" i="1"/>
  <c r="C13" i="2" s="1"/>
  <c r="C13" i="4" s="1"/>
  <c r="K13" i="2"/>
  <c r="K13" i="4" s="1"/>
  <c r="AA11" i="1"/>
  <c r="E14" i="2" s="1"/>
  <c r="E14" i="4" s="1"/>
  <c r="AG11" i="1"/>
  <c r="AG12" s="1"/>
  <c r="F12" i="2"/>
  <c r="F12" i="4" s="1"/>
  <c r="AB10" i="1"/>
  <c r="B11" i="2"/>
  <c r="B11" i="4" s="1"/>
  <c r="X9" i="1"/>
  <c r="AD9"/>
  <c r="AE10"/>
  <c r="I13" i="2" s="1"/>
  <c r="I13" i="4" s="1"/>
  <c r="AI9" i="1"/>
  <c r="M12" i="2" s="1"/>
  <c r="M12" i="4" s="1"/>
  <c r="Z12" i="1"/>
  <c r="D15" i="2" s="1"/>
  <c r="D15" i="4" s="1"/>
  <c r="J15" i="2" l="1"/>
  <c r="J15" i="4" s="1"/>
  <c r="Y11" i="1"/>
  <c r="C14" i="2" s="1"/>
  <c r="C14" i="4" s="1"/>
  <c r="AC11" i="1"/>
  <c r="AF14"/>
  <c r="J16" i="2"/>
  <c r="J16" i="4" s="1"/>
  <c r="AA12" i="1"/>
  <c r="E15" i="2" s="1"/>
  <c r="E15" i="4" s="1"/>
  <c r="K15" i="2"/>
  <c r="K15" i="4" s="1"/>
  <c r="AG13" i="1"/>
  <c r="K16" i="2" s="1"/>
  <c r="K16" i="4" s="1"/>
  <c r="K14" i="2"/>
  <c r="K14" i="4" s="1"/>
  <c r="AA13" i="1"/>
  <c r="E16" i="2" s="1"/>
  <c r="E16" i="4" s="1"/>
  <c r="AB11" i="1"/>
  <c r="F13" i="2"/>
  <c r="F13" i="4" s="1"/>
  <c r="AB12" i="1"/>
  <c r="F15" i="2" s="1"/>
  <c r="F15" i="4" s="1"/>
  <c r="AI10" i="1"/>
  <c r="M13" i="2" s="1"/>
  <c r="M13" i="4" s="1"/>
  <c r="X10" i="1"/>
  <c r="B12" i="2"/>
  <c r="B12" i="4" s="1"/>
  <c r="AD10" i="1"/>
  <c r="H12" i="2"/>
  <c r="H12" i="4" s="1"/>
  <c r="AE11" i="1"/>
  <c r="I14" i="2" s="1"/>
  <c r="I14" i="4" s="1"/>
  <c r="Z13" i="1"/>
  <c r="AA14" l="1"/>
  <c r="AA15" s="1"/>
  <c r="E18" i="2" s="1"/>
  <c r="E18" i="4" s="1"/>
  <c r="G14" i="2"/>
  <c r="G14" i="4" s="1"/>
  <c r="AC12" i="1"/>
  <c r="Y12"/>
  <c r="C15" i="2" s="1"/>
  <c r="C15" i="4" s="1"/>
  <c r="J17" i="2"/>
  <c r="J17" i="4" s="1"/>
  <c r="AF15" i="1"/>
  <c r="J18" i="2" s="1"/>
  <c r="J18" i="4" s="1"/>
  <c r="AG14" i="1"/>
  <c r="F14" i="2"/>
  <c r="F14" i="4" s="1"/>
  <c r="AB13" i="1"/>
  <c r="B13" i="2"/>
  <c r="B13" i="4" s="1"/>
  <c r="X11" i="1"/>
  <c r="AD11"/>
  <c r="H13" i="2"/>
  <c r="H13" i="4" s="1"/>
  <c r="Z14" i="1"/>
  <c r="D16" i="2"/>
  <c r="D16" i="4" s="1"/>
  <c r="AE12" i="1"/>
  <c r="AI11"/>
  <c r="M14" i="2" s="1"/>
  <c r="M14" i="4" s="1"/>
  <c r="E17" i="2" l="1"/>
  <c r="E17" i="4" s="1"/>
  <c r="AI12" i="1"/>
  <c r="M15" i="2" s="1"/>
  <c r="M15" i="4" s="1"/>
  <c r="AA16" i="1"/>
  <c r="AA17" s="1"/>
  <c r="Y13"/>
  <c r="G15" i="2"/>
  <c r="G15" i="4" s="1"/>
  <c r="AC13" i="1"/>
  <c r="AF16"/>
  <c r="AG15"/>
  <c r="K17" i="2"/>
  <c r="K17" i="4" s="1"/>
  <c r="F16" i="2"/>
  <c r="F16" i="4" s="1"/>
  <c r="AB14" i="1"/>
  <c r="F17" i="2" s="1"/>
  <c r="F17" i="4" s="1"/>
  <c r="X12" i="1"/>
  <c r="B14" i="2"/>
  <c r="B14" i="4" s="1"/>
  <c r="Z15" i="1"/>
  <c r="D17" i="2"/>
  <c r="D17" i="4" s="1"/>
  <c r="H14" i="2"/>
  <c r="H14" i="4" s="1"/>
  <c r="AD12" i="1"/>
  <c r="H15" i="2" s="1"/>
  <c r="H15" i="4" s="1"/>
  <c r="AE13" i="1"/>
  <c r="I15" i="2"/>
  <c r="I15" i="4" s="1"/>
  <c r="E19" i="2" l="1"/>
  <c r="E19" i="4" s="1"/>
  <c r="G16" i="2"/>
  <c r="G16" i="4" s="1"/>
  <c r="C16" i="2"/>
  <c r="C16" i="4" s="1"/>
  <c r="Y14" i="1"/>
  <c r="AC14"/>
  <c r="AF17"/>
  <c r="J19" i="2"/>
  <c r="J19" i="4" s="1"/>
  <c r="K18" i="2"/>
  <c r="K18" i="4" s="1"/>
  <c r="AG16" i="1"/>
  <c r="AB15"/>
  <c r="B15" i="2"/>
  <c r="B15" i="4" s="1"/>
  <c r="X13" i="1"/>
  <c r="E20" i="2"/>
  <c r="E20" i="4" s="1"/>
  <c r="AA18" i="1"/>
  <c r="AE14"/>
  <c r="I16" i="2"/>
  <c r="I16" i="4" s="1"/>
  <c r="AE15" i="1"/>
  <c r="I18" i="2" s="1"/>
  <c r="I18" i="4" s="1"/>
  <c r="AI13" i="1"/>
  <c r="Z16"/>
  <c r="D18" i="2"/>
  <c r="D18" i="4" s="1"/>
  <c r="AD13" i="1"/>
  <c r="G17" i="2" l="1"/>
  <c r="G17" i="4" s="1"/>
  <c r="Y15" i="1"/>
  <c r="C17" i="2"/>
  <c r="C17" i="4" s="1"/>
  <c r="AC15" i="1"/>
  <c r="AI15" s="1"/>
  <c r="M18" i="2" s="1"/>
  <c r="M18" i="4" s="1"/>
  <c r="AF18" i="1"/>
  <c r="J20" i="2"/>
  <c r="J20" i="4" s="1"/>
  <c r="AG17" i="1"/>
  <c r="K19" i="2"/>
  <c r="K19" i="4" s="1"/>
  <c r="F18" i="2"/>
  <c r="F18" i="4" s="1"/>
  <c r="AB16" i="1"/>
  <c r="M16" i="2"/>
  <c r="M16" i="4" s="1"/>
  <c r="AE16" i="1"/>
  <c r="I19" i="2" s="1"/>
  <c r="I19" i="4" s="1"/>
  <c r="B16" i="2"/>
  <c r="B16" i="4" s="1"/>
  <c r="X14" i="1"/>
  <c r="Z17"/>
  <c r="D19" i="2"/>
  <c r="D19" i="4" s="1"/>
  <c r="I17" i="2"/>
  <c r="I17" i="4" s="1"/>
  <c r="AI14" i="1"/>
  <c r="M17" i="2" s="1"/>
  <c r="M17" i="4" s="1"/>
  <c r="AD14" i="1"/>
  <c r="H16" i="2"/>
  <c r="H16" i="4" s="1"/>
  <c r="AA19" i="1"/>
  <c r="E21" i="2"/>
  <c r="E21" i="4" s="1"/>
  <c r="AE17" i="1" l="1"/>
  <c r="I20" i="2" s="1"/>
  <c r="I20" i="4" s="1"/>
  <c r="G18" i="2"/>
  <c r="G18" i="4" s="1"/>
  <c r="C18" i="2"/>
  <c r="C18" i="4" s="1"/>
  <c r="Y16" i="1"/>
  <c r="AC16"/>
  <c r="J21" i="2"/>
  <c r="J21" i="4" s="1"/>
  <c r="AF19" i="1"/>
  <c r="K20" i="2"/>
  <c r="K20" i="4" s="1"/>
  <c r="AG18" i="1"/>
  <c r="F19" i="2"/>
  <c r="F19" i="4" s="1"/>
  <c r="AB17" i="1"/>
  <c r="B17" i="2"/>
  <c r="B17" i="4" s="1"/>
  <c r="X15" i="1"/>
  <c r="X16" s="1"/>
  <c r="B19" i="2" s="1"/>
  <c r="B19" i="4" s="1"/>
  <c r="Z18" i="1"/>
  <c r="D20" i="2"/>
  <c r="D20" i="4" s="1"/>
  <c r="AA20" i="1"/>
  <c r="E22" i="2"/>
  <c r="E22" i="4" s="1"/>
  <c r="AD15" i="1"/>
  <c r="H17" i="2"/>
  <c r="H17" i="4" s="1"/>
  <c r="AE18" i="1" l="1"/>
  <c r="I21" i="2" s="1"/>
  <c r="I21" i="4" s="1"/>
  <c r="G19" i="2"/>
  <c r="G19" i="4" s="1"/>
  <c r="Y17" i="1"/>
  <c r="Y18" s="1"/>
  <c r="C21" i="2" s="1"/>
  <c r="C21" i="4" s="1"/>
  <c r="C19" i="2"/>
  <c r="C19" i="4" s="1"/>
  <c r="AI16" i="1"/>
  <c r="M19" i="2" s="1"/>
  <c r="M19" i="4" s="1"/>
  <c r="AC17" i="1"/>
  <c r="AF20"/>
  <c r="J22" i="2"/>
  <c r="J22" i="4" s="1"/>
  <c r="K21" i="2"/>
  <c r="K21" i="4" s="1"/>
  <c r="AG19" i="1"/>
  <c r="K22" i="2" s="1"/>
  <c r="K22" i="4" s="1"/>
  <c r="F20" i="2"/>
  <c r="F20" i="4" s="1"/>
  <c r="AB18" i="1"/>
  <c r="B18" i="2"/>
  <c r="B18" i="4" s="1"/>
  <c r="X17" i="1"/>
  <c r="AD16"/>
  <c r="H18" i="2"/>
  <c r="H18" i="4" s="1"/>
  <c r="Z19" i="1"/>
  <c r="D21" i="2"/>
  <c r="D21" i="4" s="1"/>
  <c r="AE19" i="1"/>
  <c r="AA21"/>
  <c r="E23" i="2"/>
  <c r="E23" i="4" s="1"/>
  <c r="G20" i="2" l="1"/>
  <c r="G20" i="4" s="1"/>
  <c r="C20" i="2"/>
  <c r="C20" i="4" s="1"/>
  <c r="AI17" i="1"/>
  <c r="M20" i="2" s="1"/>
  <c r="M20" i="4" s="1"/>
  <c r="Y19" i="1"/>
  <c r="AC18"/>
  <c r="AF21"/>
  <c r="J23" i="2"/>
  <c r="J23" i="4" s="1"/>
  <c r="AG20" i="1"/>
  <c r="K23" i="2" s="1"/>
  <c r="K23" i="4" s="1"/>
  <c r="AB19" i="1"/>
  <c r="F21" i="2"/>
  <c r="F21" i="4" s="1"/>
  <c r="X18" i="1"/>
  <c r="B20" i="2"/>
  <c r="B20" i="4" s="1"/>
  <c r="AA22" i="1"/>
  <c r="E24" i="2"/>
  <c r="E24" i="4" s="1"/>
  <c r="Z20" i="1"/>
  <c r="D22" i="2"/>
  <c r="D22" i="4" s="1"/>
  <c r="AD17" i="1"/>
  <c r="H19" i="2"/>
  <c r="H19" i="4" s="1"/>
  <c r="AE20" i="1"/>
  <c r="I22" i="2"/>
  <c r="I22" i="4" s="1"/>
  <c r="C22" i="2" l="1"/>
  <c r="C22" i="4" s="1"/>
  <c r="Y20" i="1"/>
  <c r="G21" i="2"/>
  <c r="G21" i="4" s="1"/>
  <c r="AI18" i="1"/>
  <c r="M21" i="2" s="1"/>
  <c r="M21" i="4" s="1"/>
  <c r="AC19" i="1"/>
  <c r="AF22"/>
  <c r="J24" i="2"/>
  <c r="J24" i="4" s="1"/>
  <c r="AG21" i="1"/>
  <c r="AG22" s="1"/>
  <c r="K25" i="2" s="1"/>
  <c r="K25" i="4" s="1"/>
  <c r="F22" i="2"/>
  <c r="F22" i="4" s="1"/>
  <c r="AB20" i="1"/>
  <c r="X19"/>
  <c r="B21" i="2"/>
  <c r="B21" i="4" s="1"/>
  <c r="AA23" i="1"/>
  <c r="E25" i="2"/>
  <c r="E25" i="4" s="1"/>
  <c r="AE21" i="1"/>
  <c r="I23" i="2"/>
  <c r="I23" i="4" s="1"/>
  <c r="AD18" i="1"/>
  <c r="H20" i="2"/>
  <c r="H20" i="4" s="1"/>
  <c r="Z21" i="1"/>
  <c r="D23" i="2"/>
  <c r="D23" i="4" s="1"/>
  <c r="G22" i="2" l="1"/>
  <c r="G22" i="4" s="1"/>
  <c r="AI19" i="1"/>
  <c r="M22" i="2" s="1"/>
  <c r="M22" i="4" s="1"/>
  <c r="Y21" i="1"/>
  <c r="C23" i="2"/>
  <c r="C23" i="4" s="1"/>
  <c r="AC20" i="1"/>
  <c r="AF23"/>
  <c r="J26" i="2" s="1"/>
  <c r="J25"/>
  <c r="J25" i="4" s="1"/>
  <c r="AG23" i="1"/>
  <c r="K24" i="2"/>
  <c r="K24" i="4" s="1"/>
  <c r="E26" i="2"/>
  <c r="AA24" i="1"/>
  <c r="F23" i="2"/>
  <c r="F23" i="4" s="1"/>
  <c r="AB21" i="1"/>
  <c r="B22" i="2"/>
  <c r="B22" i="4" s="1"/>
  <c r="X20" i="1"/>
  <c r="Z22"/>
  <c r="D25" i="2" s="1"/>
  <c r="D25" i="4" s="1"/>
  <c r="D24" i="2"/>
  <c r="D24" i="4" s="1"/>
  <c r="AE22" i="1"/>
  <c r="I24" i="2"/>
  <c r="I24" i="4" s="1"/>
  <c r="AD19" i="1"/>
  <c r="H21" i="2"/>
  <c r="H21" i="4" s="1"/>
  <c r="G23" i="2" l="1"/>
  <c r="G23" i="4" s="1"/>
  <c r="AI20" i="1"/>
  <c r="M23" i="2" s="1"/>
  <c r="M23" i="4" s="1"/>
  <c r="Y22" i="1"/>
  <c r="C24" i="2"/>
  <c r="C24" i="4" s="1"/>
  <c r="AC21" i="1"/>
  <c r="AC22" s="1"/>
  <c r="E27" i="2"/>
  <c r="E27" i="4" s="1"/>
  <c r="E26"/>
  <c r="J27" i="2"/>
  <c r="J27" i="4" s="1"/>
  <c r="J26"/>
  <c r="AF24" i="1"/>
  <c r="K26" i="2"/>
  <c r="AG24" i="1"/>
  <c r="F24" i="2"/>
  <c r="F24" i="4" s="1"/>
  <c r="AB22" i="1"/>
  <c r="B23" i="2"/>
  <c r="B23" i="4" s="1"/>
  <c r="X21" i="1"/>
  <c r="AD20"/>
  <c r="H22" i="2"/>
  <c r="H22" i="4" s="1"/>
  <c r="AE23" i="1"/>
  <c r="I25" i="2"/>
  <c r="I25" i="4" s="1"/>
  <c r="G25" i="2" l="1"/>
  <c r="G25" i="4" s="1"/>
  <c r="AI22" i="1"/>
  <c r="M25" i="2" s="1"/>
  <c r="M25" i="4" s="1"/>
  <c r="G24" i="2"/>
  <c r="G24" i="4" s="1"/>
  <c r="AI21" i="1"/>
  <c r="M24" i="2" s="1"/>
  <c r="M24" i="4" s="1"/>
  <c r="AC23" i="1"/>
  <c r="G26" i="2" s="1"/>
  <c r="G27" s="1"/>
  <c r="G27" i="4" s="1"/>
  <c r="C25" i="2"/>
  <c r="C25" i="4" s="1"/>
  <c r="Y23" i="1"/>
  <c r="K27" i="2"/>
  <c r="K27" i="4" s="1"/>
  <c r="K26"/>
  <c r="I26" i="2"/>
  <c r="I26" i="4" s="1"/>
  <c r="AE24" i="1"/>
  <c r="AB23"/>
  <c r="F25" i="2"/>
  <c r="F25" i="4" s="1"/>
  <c r="I27" i="2"/>
  <c r="I27" i="4" s="1"/>
  <c r="B24" i="2"/>
  <c r="B24" i="4" s="1"/>
  <c r="X22" i="1"/>
  <c r="B25" i="2" s="1"/>
  <c r="B25" i="4" s="1"/>
  <c r="AD21" i="1"/>
  <c r="H23" i="2"/>
  <c r="H23" i="4" s="1"/>
  <c r="AI23" i="1"/>
  <c r="AH6"/>
  <c r="G26" i="4" l="1"/>
  <c r="AC24" i="1"/>
  <c r="C26" i="2"/>
  <c r="Y24" i="1"/>
  <c r="F26" i="2"/>
  <c r="AB24" i="1"/>
  <c r="M26" i="2"/>
  <c r="AI24" i="1"/>
  <c r="L9" i="2"/>
  <c r="L9" i="4" s="1"/>
  <c r="X23" i="1"/>
  <c r="AD22"/>
  <c r="H24" i="2"/>
  <c r="H24" i="4" s="1"/>
  <c r="AH7" i="1"/>
  <c r="AH8"/>
  <c r="AJ6"/>
  <c r="N9" i="2" s="1"/>
  <c r="N9" i="4" s="1"/>
  <c r="C26" l="1"/>
  <c r="C27" i="2"/>
  <c r="C27" i="4" s="1"/>
  <c r="M27" i="2"/>
  <c r="M27" i="4" s="1"/>
  <c r="M26"/>
  <c r="F27" i="2"/>
  <c r="F27" i="4" s="1"/>
  <c r="F26"/>
  <c r="B26" i="2"/>
  <c r="X24" i="1"/>
  <c r="AD23"/>
  <c r="H25" i="2"/>
  <c r="H25" i="4" s="1"/>
  <c r="AJ7" i="1"/>
  <c r="N10" i="2" s="1"/>
  <c r="N10" i="4" s="1"/>
  <c r="L10" i="2"/>
  <c r="L10" i="4" s="1"/>
  <c r="AJ8" i="1"/>
  <c r="N11" i="2" s="1"/>
  <c r="N11" i="4" s="1"/>
  <c r="L11" i="2"/>
  <c r="L11" i="4" s="1"/>
  <c r="AH9" i="1"/>
  <c r="B27" i="2" l="1"/>
  <c r="B27" i="4" s="1"/>
  <c r="B26"/>
  <c r="H26" i="2"/>
  <c r="AD24" i="1"/>
  <c r="AJ9"/>
  <c r="N12" i="2" s="1"/>
  <c r="N12" i="4" s="1"/>
  <c r="L12" i="2"/>
  <c r="L12" i="4" s="1"/>
  <c r="AH10" i="1"/>
  <c r="L13" i="2" s="1"/>
  <c r="L13" i="4" s="1"/>
  <c r="AH11" i="1"/>
  <c r="H27" i="2" l="1"/>
  <c r="H27" i="4" s="1"/>
  <c r="H26"/>
  <c r="AJ11" i="1"/>
  <c r="N14" i="2" s="1"/>
  <c r="N14" i="4" s="1"/>
  <c r="L14" i="2"/>
  <c r="L14" i="4" s="1"/>
  <c r="AH12" i="1"/>
  <c r="AJ10"/>
  <c r="N13" i="2" s="1"/>
  <c r="N13" i="4" s="1"/>
  <c r="AJ12" i="1" l="1"/>
  <c r="N15" i="2" s="1"/>
  <c r="N15" i="4" s="1"/>
  <c r="L15" i="2"/>
  <c r="L15" i="4" s="1"/>
  <c r="AH13" i="1"/>
  <c r="AH15"/>
  <c r="AJ15" l="1"/>
  <c r="N18" i="2" s="1"/>
  <c r="N18" i="4" s="1"/>
  <c r="L18" i="2"/>
  <c r="L18" i="4" s="1"/>
  <c r="AJ13" i="1"/>
  <c r="N16" i="2" s="1"/>
  <c r="N16" i="4" s="1"/>
  <c r="L16" i="2"/>
  <c r="L16" i="4" s="1"/>
  <c r="AH14" i="1"/>
  <c r="AH16"/>
  <c r="AJ16" l="1"/>
  <c r="N19" i="2" s="1"/>
  <c r="N19" i="4" s="1"/>
  <c r="L19" i="2"/>
  <c r="L19" i="4" s="1"/>
  <c r="AJ14" i="1"/>
  <c r="N17" i="2" s="1"/>
  <c r="N17" i="4" s="1"/>
  <c r="L17" i="2"/>
  <c r="L17" i="4" s="1"/>
  <c r="AH17" i="1"/>
  <c r="AH18"/>
  <c r="AJ18" l="1"/>
  <c r="N21" i="2" s="1"/>
  <c r="N21" i="4" s="1"/>
  <c r="L21" i="2"/>
  <c r="L21" i="4" s="1"/>
  <c r="AJ17" i="1"/>
  <c r="N20" i="2" s="1"/>
  <c r="N20" i="4" s="1"/>
  <c r="L20" i="2"/>
  <c r="L20" i="4" s="1"/>
  <c r="AH19" i="1"/>
  <c r="AJ19" l="1"/>
  <c r="N22" i="2" s="1"/>
  <c r="N22" i="4" s="1"/>
  <c r="L22" i="2"/>
  <c r="L22" i="4" s="1"/>
  <c r="AH20" i="1"/>
  <c r="AJ20" l="1"/>
  <c r="N23" i="2" s="1"/>
  <c r="N23" i="4" s="1"/>
  <c r="L23" i="2"/>
  <c r="L23" i="4" s="1"/>
  <c r="AH21" i="1"/>
  <c r="AJ21" l="1"/>
  <c r="N24" i="2" s="1"/>
  <c r="N24" i="4" s="1"/>
  <c r="L24" i="2"/>
  <c r="L24" i="4" s="1"/>
  <c r="AH22" i="1"/>
  <c r="Z23"/>
  <c r="Z24" s="1"/>
  <c r="AH23" l="1"/>
  <c r="L26" i="2" s="1"/>
  <c r="L26" i="4" s="1"/>
  <c r="D26" i="2"/>
  <c r="AJ22" i="1"/>
  <c r="N25" i="2" s="1"/>
  <c r="N25" i="4" s="1"/>
  <c r="L25" i="2"/>
  <c r="L25" i="4" s="1"/>
  <c r="AJ23" i="1"/>
  <c r="D27" i="2" l="1"/>
  <c r="D27" i="4" s="1"/>
  <c r="D26"/>
  <c r="AH24" i="1"/>
  <c r="AJ24"/>
  <c r="N26" i="2"/>
  <c r="L27"/>
  <c r="L27" i="4" s="1"/>
  <c r="N27" i="2" l="1"/>
  <c r="N27" i="4" s="1"/>
  <c r="N26"/>
</calcChain>
</file>

<file path=xl/sharedStrings.xml><?xml version="1.0" encoding="utf-8"?>
<sst xmlns="http://schemas.openxmlformats.org/spreadsheetml/2006/main" count="290" uniqueCount="88">
  <si>
    <t>S No</t>
  </si>
  <si>
    <t>HALL TICKET NO</t>
  </si>
  <si>
    <t>RESULT</t>
  </si>
  <si>
    <t>CASTE</t>
  </si>
  <si>
    <t>SEX</t>
  </si>
  <si>
    <t>GRADE</t>
  </si>
  <si>
    <t>A+</t>
  </si>
  <si>
    <t>B+</t>
  </si>
  <si>
    <t>B</t>
  </si>
  <si>
    <t>C+</t>
  </si>
  <si>
    <t>D+</t>
  </si>
  <si>
    <t>E</t>
  </si>
  <si>
    <t xml:space="preserve">A </t>
  </si>
  <si>
    <t>TOTAL</t>
  </si>
  <si>
    <t>G.P.A.</t>
  </si>
  <si>
    <t>SC</t>
  </si>
  <si>
    <t>ST</t>
  </si>
  <si>
    <t>BC</t>
  </si>
  <si>
    <t>OC</t>
  </si>
  <si>
    <t>MUSLIM</t>
  </si>
  <si>
    <t>G</t>
  </si>
  <si>
    <t>ABOVE 9.5</t>
  </si>
  <si>
    <t>BETWEEN 9.0 AND 9.5</t>
  </si>
  <si>
    <t>BETWEEN8.5 AND 9.0</t>
  </si>
  <si>
    <t>BETWEEN 8.0 AND 8.5</t>
  </si>
  <si>
    <t>BETWEEN 6.5 AND 7.0</t>
  </si>
  <si>
    <t>BETWEEN 6.0 AND 6.5</t>
  </si>
  <si>
    <t>BETWEEN 5.0 AND 5.5</t>
  </si>
  <si>
    <t>BETWEEN 4.0 AND 4.5</t>
  </si>
  <si>
    <t>BETWEEN 3.0 AND 3.5</t>
  </si>
  <si>
    <t>BETWEEN 2.0 AND 2.5</t>
  </si>
  <si>
    <t>BETWEEN 1.0 AND 1.5</t>
  </si>
  <si>
    <t>BETWEEN 0.0 AND 0.5</t>
  </si>
  <si>
    <t>BETWEEN 7.5 AND 8.0</t>
  </si>
  <si>
    <t>BETWEEN 7.0 AND 7.5</t>
  </si>
  <si>
    <t>BETWEEN 5.5 AND 6.0</t>
  </si>
  <si>
    <t>BETWEEN 4.5 AND 5.0</t>
  </si>
  <si>
    <t>BETWEEN 3.5 AND 4.0</t>
  </si>
  <si>
    <t>BETWEEN 2.5 AND 3.0</t>
  </si>
  <si>
    <t>BETWEEN 1.5 AND 2.0</t>
  </si>
  <si>
    <t>BETWEEN 0.5 AND 1.0</t>
  </si>
  <si>
    <t>GRAND TOTAL</t>
  </si>
  <si>
    <t>DANAVAIPETA MUNICIPAL CORPORATION HIGH SCHOOL</t>
  </si>
  <si>
    <t>BI-PASS ROAD,                                                RAJAHMUNDRY</t>
  </si>
  <si>
    <t>S.S.C. PUBLIC EXAMINATIONS,          MARCH / APRIL 2015</t>
  </si>
  <si>
    <t>R  E  S  U  L  T  S</t>
  </si>
  <si>
    <t xml:space="preserve">B </t>
  </si>
  <si>
    <t xml:space="preserve">C </t>
  </si>
  <si>
    <t xml:space="preserve">D </t>
  </si>
  <si>
    <t>%</t>
  </si>
  <si>
    <t>ENGLISH MEDIUM</t>
  </si>
  <si>
    <t>TELUGU MEDIUM</t>
  </si>
  <si>
    <t>SCHOOL</t>
  </si>
  <si>
    <t>APPEARED</t>
  </si>
  <si>
    <t>PASSED</t>
  </si>
  <si>
    <t>PASS %</t>
  </si>
  <si>
    <t>DANAVAIPETA MPL CORP HIGH SCHOOL</t>
  </si>
  <si>
    <t>CHUNNILAL JAJU ROTARY MEMORIAL MPL CORP HIGH SCHOOL</t>
  </si>
  <si>
    <t>GANDHIPURAM-II MPL CORP HIGH SCHOOL</t>
  </si>
  <si>
    <t>SRI KANTIPUDI RAMA RAO MPL CORP HIGH SCHOOL</t>
  </si>
  <si>
    <t>TOWN MPL CORP HIGH SCHOOL</t>
  </si>
  <si>
    <t>SRINIVASA RAMANUJAM MPL CORP HIGH SCHOOL</t>
  </si>
  <si>
    <t>NEHRU NAGAR MPL CORP HIGH SCHOOL</t>
  </si>
  <si>
    <t>QUARRY PETA MPL CORP HIGH SCHOOL</t>
  </si>
  <si>
    <t>NAGARAJA MPL CORP HIGH SCHOOL</t>
  </si>
  <si>
    <t>LALA CHERUVU MPL CORP HIGH SCHOOL</t>
  </si>
  <si>
    <t>ANANDA NAGAR MPL CORP HIGH SCHOOL</t>
  </si>
  <si>
    <t>SRI NANNAYA MPL CORP HIGH SCHOOL</t>
  </si>
  <si>
    <t>CITY MPL CORP HIGH SCHOOL</t>
  </si>
  <si>
    <t>TEL</t>
  </si>
  <si>
    <t>HIN</t>
  </si>
  <si>
    <t>ENG</t>
  </si>
  <si>
    <t>MATHS</t>
  </si>
  <si>
    <t>SCI</t>
  </si>
  <si>
    <t>SOCIAL</t>
  </si>
  <si>
    <t>NO. OF SUBJECTS FAILED</t>
  </si>
  <si>
    <t>FAILED</t>
  </si>
  <si>
    <t>IN</t>
  </si>
  <si>
    <t>SINGLE</t>
  </si>
  <si>
    <t>SUBJECT</t>
  </si>
  <si>
    <t>FAILURES</t>
  </si>
  <si>
    <t>TWO</t>
  </si>
  <si>
    <t>SUBJECTS</t>
  </si>
  <si>
    <t>THREE</t>
  </si>
  <si>
    <t>FOUR</t>
  </si>
  <si>
    <t>FIVE</t>
  </si>
  <si>
    <t>ALL</t>
  </si>
  <si>
    <t>PASS PERCENTAGE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</si>
</sst>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2"/>
      <color rgb="FF0070C0"/>
      <name val="Calibri"/>
      <family val="2"/>
      <scheme val="minor"/>
    </font>
    <font>
      <b/>
      <sz val="22"/>
      <color theme="9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rgb="FF003399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 tint="-0.14999847407452621"/>
      <name val="Calibri"/>
      <family val="2"/>
      <scheme val="minor"/>
    </font>
    <font>
      <b/>
      <sz val="24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3" fillId="2" borderId="0" xfId="0" applyFont="1" applyFill="1"/>
    <xf numFmtId="0" fontId="23" fillId="0" borderId="0" xfId="0" applyFont="1"/>
    <xf numFmtId="0" fontId="21" fillId="0" borderId="1" xfId="0" applyFont="1" applyBorder="1"/>
    <xf numFmtId="0" fontId="21" fillId="0" borderId="1" xfId="0" applyFont="1" applyBorder="1" applyAlignment="1">
      <alignment horizontal="center" vertical="center"/>
    </xf>
    <xf numFmtId="10" fontId="21" fillId="0" borderId="1" xfId="0" applyNumberFormat="1" applyFont="1" applyBorder="1"/>
    <xf numFmtId="10" fontId="21" fillId="0" borderId="1" xfId="0" applyNumberFormat="1" applyFont="1" applyBorder="1" applyAlignment="1">
      <alignment horizontal="center" vertical="center"/>
    </xf>
    <xf numFmtId="0" fontId="24" fillId="3" borderId="1" xfId="0" applyFont="1" applyFill="1" applyBorder="1"/>
    <xf numFmtId="10" fontId="24" fillId="3" borderId="1" xfId="0" applyNumberFormat="1" applyFont="1" applyFill="1" applyBorder="1"/>
    <xf numFmtId="0" fontId="20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5" fillId="0" borderId="0" xfId="0" applyFont="1" applyAlignment="1">
      <alignment wrapText="1"/>
    </xf>
    <xf numFmtId="10" fontId="0" fillId="0" borderId="0" xfId="0" applyNumberForma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10" fontId="20" fillId="0" borderId="1" xfId="0" applyNumberFormat="1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10" fontId="20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25"/>
  <sheetViews>
    <sheetView workbookViewId="0">
      <pane ySplit="2" topLeftCell="A44" activePane="bottomLeft" state="frozen"/>
      <selection pane="bottomLeft" activeCell="M56" sqref="M56"/>
    </sheetView>
  </sheetViews>
  <sheetFormatPr defaultRowHeight="15"/>
  <cols>
    <col min="1" max="1" width="5" style="1" bestFit="1" customWidth="1"/>
    <col min="2" max="2" width="15" style="1" bestFit="1" customWidth="1"/>
    <col min="3" max="3" width="15" style="1" customWidth="1"/>
    <col min="4" max="4" width="6.42578125" style="1" bestFit="1" customWidth="1"/>
    <col min="5" max="5" width="4.140625" style="1" bestFit="1" customWidth="1"/>
    <col min="6" max="6" width="8.5703125" style="1" customWidth="1"/>
    <col min="7" max="7" width="12.28515625" style="1" customWidth="1"/>
    <col min="8" max="8" width="12.140625" style="1" customWidth="1"/>
    <col min="9" max="12" width="9.140625" style="1" customWidth="1"/>
    <col min="13" max="13" width="7.28515625" style="1" bestFit="1" customWidth="1"/>
    <col min="14" max="14" width="6.42578125" style="2" bestFit="1" customWidth="1"/>
    <col min="15" max="15" width="4" style="1" customWidth="1"/>
    <col min="16" max="16" width="8.5703125" style="1" customWidth="1"/>
    <col min="17" max="17" width="12.28515625" style="1" customWidth="1"/>
    <col min="18" max="18" width="12.140625" style="1" customWidth="1"/>
    <col min="19" max="22" width="9.140625" style="1" customWidth="1"/>
    <col min="23" max="23" width="22.5703125" style="1" customWidth="1"/>
    <col min="24" max="31" width="5.5703125" style="1" customWidth="1"/>
    <col min="32" max="32" width="6.42578125" style="1" customWidth="1"/>
    <col min="33" max="33" width="6.140625" style="1" customWidth="1"/>
    <col min="34" max="35" width="7.5703125" style="1" customWidth="1"/>
    <col min="36" max="36" width="9.42578125" style="1" customWidth="1"/>
    <col min="37" max="54" width="9.140625" style="1" customWidth="1"/>
    <col min="55" max="16384" width="9.140625" style="1"/>
  </cols>
  <sheetData>
    <row r="1" spans="1:67" ht="30" customHeight="1">
      <c r="A1" s="1" t="s">
        <v>0</v>
      </c>
      <c r="B1" s="1" t="s">
        <v>1</v>
      </c>
      <c r="D1" s="1" t="s">
        <v>3</v>
      </c>
      <c r="E1" s="1" t="s">
        <v>4</v>
      </c>
      <c r="F1" s="1" t="s">
        <v>69</v>
      </c>
      <c r="G1" s="1" t="s">
        <v>70</v>
      </c>
      <c r="H1" s="1" t="s">
        <v>71</v>
      </c>
      <c r="I1" s="1" t="s">
        <v>72</v>
      </c>
      <c r="J1" s="1" t="s">
        <v>73</v>
      </c>
      <c r="K1" s="1" t="s">
        <v>74</v>
      </c>
      <c r="L1" s="1" t="s">
        <v>75</v>
      </c>
      <c r="M1" s="1" t="s">
        <v>5</v>
      </c>
      <c r="N1" s="2" t="s">
        <v>14</v>
      </c>
      <c r="O1" s="1">
        <f>COUNTA(B2:B202)</f>
        <v>53</v>
      </c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M1" s="48" t="s">
        <v>2</v>
      </c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BC1" s="1" t="s">
        <v>15</v>
      </c>
      <c r="BE1" s="1" t="s">
        <v>16</v>
      </c>
      <c r="BG1" s="1" t="s">
        <v>17</v>
      </c>
      <c r="BI1" s="1" t="s">
        <v>18</v>
      </c>
      <c r="BK1" s="1" t="s">
        <v>19</v>
      </c>
      <c r="BM1" s="1" t="s">
        <v>13</v>
      </c>
      <c r="BO1" s="50" t="s">
        <v>41</v>
      </c>
    </row>
    <row r="2" spans="1:67" ht="33" customHeight="1">
      <c r="A2" s="1">
        <v>1</v>
      </c>
      <c r="B2" s="1">
        <v>90066</v>
      </c>
      <c r="C2" s="1">
        <v>634</v>
      </c>
      <c r="D2" s="1" t="s">
        <v>15</v>
      </c>
      <c r="E2" s="1" t="s">
        <v>8</v>
      </c>
      <c r="F2" s="1">
        <v>1</v>
      </c>
      <c r="G2" s="1">
        <v>1</v>
      </c>
      <c r="H2" s="1">
        <v>1</v>
      </c>
      <c r="I2" s="1">
        <v>1</v>
      </c>
      <c r="J2" s="1">
        <v>1</v>
      </c>
      <c r="K2" s="1">
        <v>1</v>
      </c>
      <c r="L2" s="44">
        <f>COUNTA(F2:K2)</f>
        <v>6</v>
      </c>
      <c r="N2" s="1"/>
      <c r="W2" s="47" t="s">
        <v>14</v>
      </c>
      <c r="X2" s="47" t="s">
        <v>15</v>
      </c>
      <c r="Y2" s="47"/>
      <c r="Z2" s="47" t="s">
        <v>16</v>
      </c>
      <c r="AA2" s="47"/>
      <c r="AB2" s="47" t="s">
        <v>17</v>
      </c>
      <c r="AC2" s="47"/>
      <c r="AD2" s="47" t="s">
        <v>18</v>
      </c>
      <c r="AE2" s="47"/>
      <c r="AF2" s="47" t="s">
        <v>19</v>
      </c>
      <c r="AG2" s="47"/>
      <c r="AH2" s="47" t="s">
        <v>13</v>
      </c>
      <c r="AI2" s="47"/>
      <c r="AJ2" s="47" t="s">
        <v>41</v>
      </c>
      <c r="AM2" s="47" t="s">
        <v>5</v>
      </c>
      <c r="AN2" s="49" t="s">
        <v>15</v>
      </c>
      <c r="AO2" s="49"/>
      <c r="AP2" s="49" t="s">
        <v>16</v>
      </c>
      <c r="AQ2" s="49"/>
      <c r="AR2" s="49" t="s">
        <v>17</v>
      </c>
      <c r="AS2" s="49"/>
      <c r="AT2" s="49" t="s">
        <v>18</v>
      </c>
      <c r="AU2" s="49"/>
      <c r="AV2" s="49" t="s">
        <v>19</v>
      </c>
      <c r="AW2" s="49"/>
      <c r="AX2" s="49" t="s">
        <v>13</v>
      </c>
      <c r="AY2" s="49"/>
      <c r="AZ2" s="51" t="s">
        <v>41</v>
      </c>
      <c r="BC2" s="1" t="s">
        <v>8</v>
      </c>
      <c r="BD2" s="1" t="s">
        <v>20</v>
      </c>
      <c r="BE2" s="1" t="s">
        <v>8</v>
      </c>
      <c r="BF2" s="1" t="s">
        <v>20</v>
      </c>
      <c r="BG2" s="1" t="s">
        <v>8</v>
      </c>
      <c r="BH2" s="1" t="s">
        <v>20</v>
      </c>
      <c r="BI2" s="1" t="s">
        <v>8</v>
      </c>
      <c r="BJ2" s="1" t="s">
        <v>20</v>
      </c>
      <c r="BK2" s="1" t="s">
        <v>8</v>
      </c>
      <c r="BL2" s="1" t="s">
        <v>20</v>
      </c>
      <c r="BM2" s="1" t="s">
        <v>8</v>
      </c>
      <c r="BN2" s="1" t="s">
        <v>20</v>
      </c>
      <c r="BO2" s="50"/>
    </row>
    <row r="3" spans="1:67" ht="31.5">
      <c r="A3" s="1">
        <v>2</v>
      </c>
      <c r="B3" s="1">
        <v>90066</v>
      </c>
      <c r="C3" s="1">
        <v>636</v>
      </c>
      <c r="D3" s="1" t="s">
        <v>19</v>
      </c>
      <c r="E3" s="1" t="s">
        <v>8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44">
        <f t="shared" ref="L3:L66" si="0">COUNTA(F3:K3)</f>
        <v>6</v>
      </c>
      <c r="N3" s="1"/>
      <c r="W3" s="47"/>
      <c r="X3" s="16" t="s">
        <v>8</v>
      </c>
      <c r="Y3" s="17" t="s">
        <v>20</v>
      </c>
      <c r="Z3" s="16" t="s">
        <v>8</v>
      </c>
      <c r="AA3" s="17" t="s">
        <v>20</v>
      </c>
      <c r="AB3" s="16" t="s">
        <v>8</v>
      </c>
      <c r="AC3" s="17" t="s">
        <v>20</v>
      </c>
      <c r="AD3" s="16" t="s">
        <v>8</v>
      </c>
      <c r="AE3" s="17" t="s">
        <v>20</v>
      </c>
      <c r="AF3" s="16" t="s">
        <v>8</v>
      </c>
      <c r="AG3" s="17" t="s">
        <v>20</v>
      </c>
      <c r="AH3" s="19" t="s">
        <v>8</v>
      </c>
      <c r="AI3" s="16" t="s">
        <v>20</v>
      </c>
      <c r="AJ3" s="47"/>
      <c r="AM3" s="47"/>
      <c r="AN3" s="8" t="s">
        <v>8</v>
      </c>
      <c r="AO3" s="9" t="s">
        <v>20</v>
      </c>
      <c r="AP3" s="8" t="s">
        <v>8</v>
      </c>
      <c r="AQ3" s="9" t="s">
        <v>20</v>
      </c>
      <c r="AR3" s="8" t="s">
        <v>8</v>
      </c>
      <c r="AS3" s="9" t="s">
        <v>20</v>
      </c>
      <c r="AT3" s="8" t="s">
        <v>8</v>
      </c>
      <c r="AU3" s="9" t="s">
        <v>20</v>
      </c>
      <c r="AV3" s="8" t="s">
        <v>8</v>
      </c>
      <c r="AW3" s="9" t="s">
        <v>20</v>
      </c>
      <c r="AX3" s="49"/>
      <c r="AY3" s="49"/>
      <c r="AZ3" s="51"/>
      <c r="BC3" s="1">
        <f>COUNTIFS(D2:D201,"SC",E2:E201,"B")</f>
        <v>11</v>
      </c>
      <c r="BD3" s="1">
        <f>COUNTIFS(D2:D201,"SC",E2:E201,"G")</f>
        <v>13</v>
      </c>
      <c r="BE3" s="1">
        <f>COUNTIFS(D2:D201,"ST",E2:E201,"B")</f>
        <v>0</v>
      </c>
      <c r="BF3" s="1">
        <f>COUNTIFS(D2:D201,"ST",E2:E201,"G")</f>
        <v>0</v>
      </c>
      <c r="BG3" s="1">
        <f>COUNTIFS(D2:D201,"BC",E2:E201,"B")</f>
        <v>13</v>
      </c>
      <c r="BH3" s="1">
        <f>COUNTIFS(D2:D201,"BC",E2:E201,"G")</f>
        <v>7</v>
      </c>
      <c r="BI3" s="1">
        <f>COUNTIFS(D2:D201,"OC",E2:E201,"B")</f>
        <v>1</v>
      </c>
      <c r="BJ3" s="1">
        <f>COUNTIFS(D2:D201,"OC",E2:E201,"G")</f>
        <v>0</v>
      </c>
      <c r="BK3" s="1">
        <f>COUNTIFS(D2:D201,"MUSLIM",E2:E201,"B")</f>
        <v>2</v>
      </c>
      <c r="BL3" s="1">
        <f>COUNTIFS(D2:D201,"MUSLIM",E2:E201,"G")</f>
        <v>6</v>
      </c>
      <c r="BM3" s="1">
        <f>SUM(BC3,BE3,BG3,BI3,BK3)</f>
        <v>27</v>
      </c>
      <c r="BN3" s="1">
        <f>SUM(BD3,BF3,BH3,BJ3,BL3)</f>
        <v>26</v>
      </c>
      <c r="BO3" s="1">
        <f>SUM(BM3:BN3)</f>
        <v>53</v>
      </c>
    </row>
    <row r="4" spans="1:67" ht="26.25">
      <c r="A4" s="1">
        <v>3</v>
      </c>
      <c r="B4" s="1">
        <v>90066</v>
      </c>
      <c r="C4" s="1">
        <v>638</v>
      </c>
      <c r="D4" s="1" t="s">
        <v>15</v>
      </c>
      <c r="E4" s="1" t="s">
        <v>8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44">
        <f t="shared" si="0"/>
        <v>6</v>
      </c>
      <c r="N4" s="1"/>
      <c r="W4" s="16" t="s">
        <v>21</v>
      </c>
      <c r="X4" s="16">
        <f>COUNTIFS(D2:D201,"SC",E2:E201,"B",N2:N201,"&gt;9.4")</f>
        <v>0</v>
      </c>
      <c r="Y4" s="17">
        <f>COUNTIFS(D2:D201,"SC",E2:E201,"G",N2:N201,"&gt;9.4")</f>
        <v>0</v>
      </c>
      <c r="Z4" s="16">
        <f>COUNTIFS(D2:D201,"ST",E2:E201,"B",N2:N201,"&gt;9.4")</f>
        <v>0</v>
      </c>
      <c r="AA4" s="17">
        <f>COUNTIFS(D2:D201,"ST",E2:E201,"G",N2:N201,"&gt;9.4")</f>
        <v>0</v>
      </c>
      <c r="AB4" s="16">
        <f>COUNTIFS(D2:D201,"BC",E2:E201,"B",N2:N201,"&gt;9.4")</f>
        <v>0</v>
      </c>
      <c r="AC4" s="17">
        <f>COUNTIFS(D2:D201,"BC",E2:E201,"G",N2:N201,"&gt;9.4")</f>
        <v>0</v>
      </c>
      <c r="AD4" s="16">
        <f>COUNTIFS(D2:D201,"OC",E2:E201,"B",N2:N201,"&gt;9.4")</f>
        <v>0</v>
      </c>
      <c r="AE4" s="17">
        <f>COUNTIFS(D2:D201,"OC",E2:E201,"G",N2:N201,"&gt;9.4")</f>
        <v>0</v>
      </c>
      <c r="AF4" s="16">
        <f>COUNTIFS(D2:D201,"MUSLIM",E2:E201,"B",N2:N201,"&gt;9.4")</f>
        <v>0</v>
      </c>
      <c r="AG4" s="17">
        <f>COUNTIFS(D2:D201,"MUSLIM",E2:E201,"G",N2:N201,"&gt;9.4")</f>
        <v>0</v>
      </c>
      <c r="AH4" s="19">
        <f>X4+Z4+AB4+AD4+AF4</f>
        <v>0</v>
      </c>
      <c r="AI4" s="17">
        <f>Y4+AA4+AC4+AE4+AG4</f>
        <v>0</v>
      </c>
      <c r="AJ4" s="20">
        <f>SUM(AH4:AI4)</f>
        <v>0</v>
      </c>
      <c r="AM4" s="10" t="s">
        <v>6</v>
      </c>
      <c r="AN4" s="8">
        <f>COUNTIFS(D2:D201,"SC",E2:E201,"B",M2:M201,"A+")</f>
        <v>0</v>
      </c>
      <c r="AO4" s="9">
        <f>COUNTIFS(D2:D201,"SC",E2:E201,"G",M2:M201,"A+")</f>
        <v>0</v>
      </c>
      <c r="AP4" s="8">
        <v>15</v>
      </c>
      <c r="AQ4" s="9">
        <f>COUNTIFS(D2:D201,"ST",E2:E201,"G",M2:M201,"A+")</f>
        <v>0</v>
      </c>
      <c r="AR4" s="8">
        <f>COUNTIFS(D2:D201,"BC",E2:E201,"B",M2:M201,"A+")</f>
        <v>0</v>
      </c>
      <c r="AS4" s="9">
        <f>COUNTIFS(D2:D201,"BC",E2:E201,"G",M2:M201,"A+")</f>
        <v>0</v>
      </c>
      <c r="AT4" s="8">
        <f>COUNTIFS(D2:D201,"OC",E2:E201,"B",M2:M201,"A+")</f>
        <v>0</v>
      </c>
      <c r="AU4" s="9">
        <f>COUNTIFS(D2:D201,"OC",E2:E201,"G",M2:M201,"A+")</f>
        <v>0</v>
      </c>
      <c r="AV4" s="8">
        <f>COUNTIFS(D2:D201,"MUSLIM",E2:E201,"B",M2:M201,"A+")</f>
        <v>0</v>
      </c>
      <c r="AW4" s="9">
        <f>COUNTIFS(D2:D201,"MUSLIM",E2:E201,"G",M2:M201,"A+")</f>
        <v>0</v>
      </c>
      <c r="AX4" s="8">
        <f>SUM(AV4,AT4,AR4,AP4,AN4)</f>
        <v>15</v>
      </c>
      <c r="AY4" s="8">
        <f>SUM(AW4,AU4,AS4,AQ4,AO4)</f>
        <v>0</v>
      </c>
      <c r="AZ4" s="12">
        <f>SUM(AX4:AY4)</f>
        <v>15</v>
      </c>
    </row>
    <row r="5" spans="1:67" ht="31.5">
      <c r="A5" s="1">
        <v>4</v>
      </c>
      <c r="B5" s="1">
        <v>90066</v>
      </c>
      <c r="C5" s="1">
        <v>640</v>
      </c>
      <c r="D5" s="1" t="s">
        <v>15</v>
      </c>
      <c r="E5" s="1" t="s">
        <v>8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44">
        <f t="shared" si="0"/>
        <v>6</v>
      </c>
      <c r="N5" s="1"/>
      <c r="W5" s="16" t="s">
        <v>22</v>
      </c>
      <c r="X5" s="16">
        <f>COUNTIFS(D2:D201,"SC",E2:E201,"B",N2:N201,"&gt;8.9")-X4</f>
        <v>0</v>
      </c>
      <c r="Y5" s="17">
        <f>COUNTIFS(D2:D201,"SC",E2:E201,"G",N2:N201,"&gt;8.9")-Y4</f>
        <v>0</v>
      </c>
      <c r="Z5" s="16">
        <f>COUNTIFS(D2:D201,"ST",E2:E201,"B",N2:N201,"&gt;8.9")-Z4</f>
        <v>0</v>
      </c>
      <c r="AA5" s="17">
        <f>COUNTIFS(D2:D201,"ST",E2:E201,"G",N2:N201,"&gt;8.9")-AA4</f>
        <v>0</v>
      </c>
      <c r="AB5" s="16">
        <f>COUNTIFS(D2:D201,"BC",E2:E201,"B",N2:N201,"&gt;8.9")-AB4</f>
        <v>0</v>
      </c>
      <c r="AC5" s="17">
        <f>COUNTIFS(D2:D201,"BC",E2:E201,"G",N2:N201,"&gt;8.9")-AC4</f>
        <v>0</v>
      </c>
      <c r="AD5" s="16">
        <f>COUNTIFS(D2:D201,"OC",E2:E201,"B",N2:N201,"&gt;8.9")-AD4</f>
        <v>0</v>
      </c>
      <c r="AE5" s="17">
        <f>COUNTIFS(D2:D201,"OC",E2:E201,"G",N2:N201,"&gt;8.9")-AE4</f>
        <v>0</v>
      </c>
      <c r="AF5" s="16">
        <f>COUNTIFS(D2:D201,"MUSLIM",E2:E201,"B",N2:N201,"&gt;8.9")-AF4</f>
        <v>0</v>
      </c>
      <c r="AG5" s="17">
        <f>COUNTIFS(D2:D201,"MUSLIM",E2:E201,"G",N2:N201,"&gt;8.9")-AG4</f>
        <v>0</v>
      </c>
      <c r="AH5" s="19">
        <f t="shared" ref="AH5:AH23" si="1">X5+Z5+AB5+AD5+AF5</f>
        <v>0</v>
      </c>
      <c r="AI5" s="17">
        <f t="shared" ref="AI5:AI23" si="2">Y5+AA5+AC5+AE5+AG5</f>
        <v>0</v>
      </c>
      <c r="AJ5" s="20">
        <f t="shared" ref="AJ5:AJ23" si="3">SUM(AH5:AI5)</f>
        <v>0</v>
      </c>
      <c r="AM5" s="10" t="s">
        <v>12</v>
      </c>
      <c r="AN5" s="8">
        <f>COUNTIFS(D2:D201,"SC",E2:E201,"B",M2:M201,"A")</f>
        <v>0</v>
      </c>
      <c r="AO5" s="9">
        <f>COUNTIFS(D2:D201,"SC",E2:E201,"G",M2:M201,"A")</f>
        <v>0</v>
      </c>
      <c r="AP5" s="8">
        <f>COUNTIFS(D2:D201,"ST",E2:E201,"B",M2:M201,"A")</f>
        <v>0</v>
      </c>
      <c r="AQ5" s="9">
        <f>COUNTIFS(D2:D201,"ST",E2:E201,"G",M2:M201,"A")</f>
        <v>0</v>
      </c>
      <c r="AR5" s="8">
        <f>COUNTIFS(D2:D201,"BC",E2:E201,"B",M2:M201,"A")</f>
        <v>0</v>
      </c>
      <c r="AS5" s="9">
        <f>COUNTIFS(D2:D201,"BC",E2:E201,"G",M2:M201,"A")</f>
        <v>0</v>
      </c>
      <c r="AT5" s="8">
        <f>COUNTIFS(D2:D201,"OC",E2:E201,"B",M2:M201,"A")</f>
        <v>0</v>
      </c>
      <c r="AU5" s="9">
        <f>COUNTIFS(D2:D201,"OC",E2:E201,"G",M2:M201,"A")</f>
        <v>0</v>
      </c>
      <c r="AV5" s="8">
        <f>COUNTIFS(D2:D201,"MUSLIM",E2:E201,"B",M2:M201,"A")</f>
        <v>0</v>
      </c>
      <c r="AW5" s="9">
        <f>COUNTIFS(D2:D201,"MUSLIM",E2:E201,"G",M2:M201,"A")</f>
        <v>0</v>
      </c>
      <c r="AX5" s="8">
        <f t="shared" ref="AX5:AX12" si="4">SUM(AV5,AT5,AR5,AP5,AN5)</f>
        <v>0</v>
      </c>
      <c r="AY5" s="8">
        <f t="shared" ref="AY5:AY12" si="5">SUM(AW5,AU5,AS5,AQ5,AO5)</f>
        <v>0</v>
      </c>
      <c r="AZ5" s="12">
        <f t="shared" ref="AZ5:AZ12" si="6">SUM(AX5:AY5)</f>
        <v>0</v>
      </c>
    </row>
    <row r="6" spans="1:67" ht="26.25">
      <c r="A6" s="1">
        <v>5</v>
      </c>
      <c r="B6" s="1">
        <v>90066</v>
      </c>
      <c r="C6" s="1">
        <v>642</v>
      </c>
      <c r="D6" s="1" t="s">
        <v>17</v>
      </c>
      <c r="E6" s="1" t="s">
        <v>8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44">
        <f t="shared" si="0"/>
        <v>6</v>
      </c>
      <c r="N6" s="1"/>
      <c r="W6" s="16" t="s">
        <v>23</v>
      </c>
      <c r="X6" s="16">
        <f>COUNTIFS(D2:D201,"SC",E2:E201,"B",N2:N201,"&gt;8.4")-SUM(X4:X5)</f>
        <v>0</v>
      </c>
      <c r="Y6" s="17">
        <f>COUNTIFS(D2:D201,"SC",E2:E201,"G",N2:N201,"&gt;8.4")-SUM(Y4:Y5)</f>
        <v>0</v>
      </c>
      <c r="Z6" s="16">
        <f>COUNTIFS(D2:D201,"ST",E2:E201,"B",N2:N201,"&gt;8.4")-SUM(Z4:Z5)</f>
        <v>0</v>
      </c>
      <c r="AA6" s="17">
        <f>COUNTIFS(D2:D201,"ST",E2:E201,"G",N2:N201,"&gt;8.4")-SUM(AA4:AA5)</f>
        <v>0</v>
      </c>
      <c r="AB6" s="16">
        <f>COUNTIFS(D2:D201,"BC",E2:E201,"B",N2:N201,"&gt;8.4")-SUM(AB4:AB5)</f>
        <v>0</v>
      </c>
      <c r="AC6" s="17">
        <f>COUNTIFS(D2:D201,"BC",E2:E201,"G",N2:N201,"&gt;8.4")-SUM(AC4:AC5)</f>
        <v>0</v>
      </c>
      <c r="AD6" s="16">
        <f>COUNTIFS(D2:D201,"OC",E2:E201,"B",N2:N201,"&gt;8.4")-SUM(AD4:AD5)</f>
        <v>0</v>
      </c>
      <c r="AE6" s="17">
        <f>COUNTIFS(D2:D201,"OC",E2:E201,"G",N2:N201,"&gt;8.4")-SUM(AE4:AE5)</f>
        <v>0</v>
      </c>
      <c r="AF6" s="16">
        <f>COUNTIFS(D2:D201,"MUSLIM",E2:E201,"B",N2:N201,"&gt;8.4")-SUM(AF4:AF5)</f>
        <v>0</v>
      </c>
      <c r="AG6" s="17">
        <f>COUNTIFS(D2:D201,"MUSLIM",E2:E201,"G",N2:N201,"&gt;8.4")-SUM(AG4:AG5)</f>
        <v>0</v>
      </c>
      <c r="AH6" s="19">
        <f t="shared" si="1"/>
        <v>0</v>
      </c>
      <c r="AI6" s="17">
        <f t="shared" si="2"/>
        <v>0</v>
      </c>
      <c r="AJ6" s="20">
        <f t="shared" si="3"/>
        <v>0</v>
      </c>
      <c r="AM6" s="10" t="s">
        <v>7</v>
      </c>
      <c r="AN6" s="8">
        <f>COUNTIFS(D2:D201,"SC",E2:E201,"B",M2:M201,"B+")</f>
        <v>0</v>
      </c>
      <c r="AO6" s="9">
        <f>COUNTIFS(D2:D201,"SC",E2:E201,"G",M2:M201,"B+")</f>
        <v>0</v>
      </c>
      <c r="AP6" s="8">
        <f>COUNTIFS(D2:D201,"ST",E2:E201,"B",M2:M201,"B+")</f>
        <v>0</v>
      </c>
      <c r="AQ6" s="9">
        <f>COUNTIFS(D2:D201,"ST",E2:E201,"G",M2:M201,"B+")</f>
        <v>0</v>
      </c>
      <c r="AR6" s="8">
        <f>COUNTIFS(D2:D201,"BC",E2:E201,"B",M2:M201,"B+")</f>
        <v>0</v>
      </c>
      <c r="AS6" s="9">
        <f>COUNTIFS(D2:D201,"BC",E2:E201,"G",M2:M201,"B+")</f>
        <v>0</v>
      </c>
      <c r="AT6" s="8">
        <f>COUNTIFS(D2:D201,"OC",E2:E201,"B",M2:M201,"B+")</f>
        <v>0</v>
      </c>
      <c r="AU6" s="9">
        <f>COUNTIFS(D2:D201,"OC",E2:E201,"G",M2:M201,"B+")</f>
        <v>0</v>
      </c>
      <c r="AV6" s="8">
        <f>COUNTIFS(D2:D201,"MUSLIM",E2:E201,"B",M2:M201,"B+")</f>
        <v>0</v>
      </c>
      <c r="AW6" s="9">
        <f>COUNTIFS(D2:D201,"MUSLIM",E2:E201,"G",M2:M201,"B+")</f>
        <v>0</v>
      </c>
      <c r="AX6" s="8">
        <f t="shared" si="4"/>
        <v>0</v>
      </c>
      <c r="AY6" s="8">
        <f t="shared" si="5"/>
        <v>0</v>
      </c>
      <c r="AZ6" s="12">
        <f t="shared" si="6"/>
        <v>0</v>
      </c>
    </row>
    <row r="7" spans="1:67" ht="31.5">
      <c r="A7" s="1">
        <v>6</v>
      </c>
      <c r="B7" s="1">
        <v>90066</v>
      </c>
      <c r="C7" s="1">
        <v>644</v>
      </c>
      <c r="D7" s="1" t="s">
        <v>15</v>
      </c>
      <c r="E7" s="1" t="s">
        <v>8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44">
        <f t="shared" si="0"/>
        <v>6</v>
      </c>
      <c r="N7" s="1"/>
      <c r="W7" s="16" t="s">
        <v>24</v>
      </c>
      <c r="X7" s="16">
        <f>COUNTIFS(D2:D201,"SC",E2:E201,"B",N2:N201,"&gt;7.9")-SUM(X4:X6)</f>
        <v>0</v>
      </c>
      <c r="Y7" s="17">
        <f>COUNTIFS(D2:D201,"SC",E2:E201,"G",N2:N201,"&gt;7.9")-SUM(Y4:Y6)</f>
        <v>0</v>
      </c>
      <c r="Z7" s="16">
        <f>COUNTIFS(D2:D201,"ST",E2:E201,"B",N2:N201,"&gt;7.9")-SUM(Z4:Z6)</f>
        <v>0</v>
      </c>
      <c r="AA7" s="17">
        <f>COUNTIFS(D2:D201,"ST",E2:E201,"G",N2:N201,"&gt;7.9")-SUM(AA4:AA6)</f>
        <v>0</v>
      </c>
      <c r="AB7" s="16">
        <f>COUNTIFS(D2:D201,"BC",E2:E201,"B",N2:N201,"&gt;7.9")-SUM(AB4:AB6)</f>
        <v>0</v>
      </c>
      <c r="AC7" s="17">
        <f>COUNTIFS(D2:D201,"BC",E2:E201,"G",N2:N201,"&gt;7.9")-SUM(AC4:AC6)</f>
        <v>0</v>
      </c>
      <c r="AD7" s="16">
        <f>COUNTIFS(D2:D201,"OC",E2:E201,"B",N2:N201,"&gt;7.9")-SUM(AD4:AD6)</f>
        <v>0</v>
      </c>
      <c r="AE7" s="17">
        <f>COUNTIFS(D2:D201,"OC",E2:E201,"G",N2:N201,"&gt;7.9")-SUM(AE4:AE6)</f>
        <v>0</v>
      </c>
      <c r="AF7" s="16">
        <f>COUNTIFS(D2:D201,"MUSLIM",E2:E201,"B",N2:N201,"&gt;7.9")-SUM(AF4:AF6)</f>
        <v>0</v>
      </c>
      <c r="AG7" s="17">
        <f>COUNTIFS(D2:D201,"MUSLIM",E2:E201,"G",N2:N201,"&gt;7.9")-SUM(AG4:AG6)</f>
        <v>0</v>
      </c>
      <c r="AH7" s="19">
        <f t="shared" si="1"/>
        <v>0</v>
      </c>
      <c r="AI7" s="17">
        <f t="shared" si="2"/>
        <v>0</v>
      </c>
      <c r="AJ7" s="20">
        <f t="shared" si="3"/>
        <v>0</v>
      </c>
      <c r="AM7" s="10" t="s">
        <v>46</v>
      </c>
      <c r="AN7" s="8">
        <f>COUNTIFS(D2:D201,"SC",E2:E201,"B",M2:M201,"B")</f>
        <v>0</v>
      </c>
      <c r="AO7" s="9">
        <f>COUNTIFS(D2:D201,"SC",E2:E201,"G",M2:M201,"B")</f>
        <v>0</v>
      </c>
      <c r="AP7" s="8">
        <f>COUNTIFS(D2:D201,"ST",E2:E201,"B",M2:M201,"B")</f>
        <v>0</v>
      </c>
      <c r="AQ7" s="9">
        <f>COUNTIFS(D2:D201,"ST",E2:E201,"G",M2:M201,"B")</f>
        <v>0</v>
      </c>
      <c r="AR7" s="8">
        <f>COUNTIFS(D2:D201,"BC",E2:E201,"B",M2:M201,"B")</f>
        <v>0</v>
      </c>
      <c r="AS7" s="9">
        <f>COUNTIFS(D2:D201,"BC",E2:E201,"G",M2:M201,"B")</f>
        <v>0</v>
      </c>
      <c r="AT7" s="8">
        <f>COUNTIFS(D2:D201,"OC",E2:E201,"B",M2:M201,"B")</f>
        <v>0</v>
      </c>
      <c r="AU7" s="9">
        <f>COUNTIFS(D2:D201,"OC",E2:E201,"G",M2:M201,"B")</f>
        <v>0</v>
      </c>
      <c r="AV7" s="8">
        <f>COUNTIFS(D2:D201,"MUSLIM",E2:E201,"B",M2:M201,"B")</f>
        <v>0</v>
      </c>
      <c r="AW7" s="9">
        <f>COUNTIFS(D2:D201,"MUSLIM",E2:E201,"G",M2:M201,"B")</f>
        <v>0</v>
      </c>
      <c r="AX7" s="8">
        <f t="shared" si="4"/>
        <v>0</v>
      </c>
      <c r="AY7" s="8">
        <f t="shared" si="5"/>
        <v>0</v>
      </c>
      <c r="AZ7" s="12">
        <f t="shared" si="6"/>
        <v>0</v>
      </c>
    </row>
    <row r="8" spans="1:67" ht="31.5">
      <c r="A8" s="1">
        <v>7</v>
      </c>
      <c r="B8" s="1">
        <v>90066</v>
      </c>
      <c r="C8" s="1">
        <v>646</v>
      </c>
      <c r="D8" s="1" t="s">
        <v>15</v>
      </c>
      <c r="E8" s="1" t="s">
        <v>8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44">
        <f t="shared" si="0"/>
        <v>6</v>
      </c>
      <c r="N8" s="1"/>
      <c r="W8" s="16" t="s">
        <v>33</v>
      </c>
      <c r="X8" s="16">
        <f>COUNTIFS(D2:D201,"SC",E2:E201,"B",N2:N201,"&gt;7.4")-SUM(X4:X7)</f>
        <v>0</v>
      </c>
      <c r="Y8" s="17">
        <f>COUNTIFS(D2:D201,"SC",E2:E201,"G",N2:N201,"&gt;7.4")-SUM(Y4:Y7)</f>
        <v>0</v>
      </c>
      <c r="Z8" s="16">
        <f>COUNTIFS(D2:D201,"ST",E2:E201,"B",N2:N201,"&gt;7.4")-SUM(Z4:Z7)</f>
        <v>0</v>
      </c>
      <c r="AA8" s="17">
        <f>COUNTIFS(D2:D201,"ST",E2:E201,"G",N2:N201,"&gt;7.4")-SUM(AA4:AA7)</f>
        <v>0</v>
      </c>
      <c r="AB8" s="16">
        <f>COUNTIFS(D2:D201,"BC",E2:E201,"B",N2:N201,"&gt;7.4")-SUM(AB4:AB7)</f>
        <v>0</v>
      </c>
      <c r="AC8" s="17">
        <f>COUNTIFS(D2:D201,"BC",E2:E201,"G",N2:N201,"&gt;7.4")-SUM(AC4:AC7)</f>
        <v>0</v>
      </c>
      <c r="AD8" s="16">
        <f>COUNTIFS(D2:D201,"OC",E2:E201,"B",N2:N201,"&gt;7.4")-SUM(AD4:AD7)</f>
        <v>0</v>
      </c>
      <c r="AE8" s="17">
        <f>COUNTIFS(D2:D201,"OC",E2:E201,"G",N2:N201,"&gt;7.4")-SUM(AE4:AE7)</f>
        <v>0</v>
      </c>
      <c r="AF8" s="16">
        <f>COUNTIFS(D2:D201,"MUSLIM",E2:E201,"B",N2:N201,"&gt;7.4")-SUM(AF4:AF7)</f>
        <v>0</v>
      </c>
      <c r="AG8" s="17">
        <f>COUNTIFS(D2:D201,"MUSLIM",E2:E201,"G",N2:N201,"&gt;7.4")-SUM(AG4:AG7)</f>
        <v>0</v>
      </c>
      <c r="AH8" s="19">
        <f t="shared" si="1"/>
        <v>0</v>
      </c>
      <c r="AI8" s="17">
        <f t="shared" si="2"/>
        <v>0</v>
      </c>
      <c r="AJ8" s="20">
        <f t="shared" si="3"/>
        <v>0</v>
      </c>
      <c r="AM8" s="10" t="s">
        <v>9</v>
      </c>
      <c r="AN8" s="8">
        <f>COUNTIFS(D2:D201,"SC",E2:E201,"B",M2:M201,"C+")</f>
        <v>0</v>
      </c>
      <c r="AO8" s="9">
        <f>COUNTIFS(D2:D201,"SC",E2:E201,"G",M2:M201,"C+")</f>
        <v>0</v>
      </c>
      <c r="AP8" s="8">
        <f>COUNTIFS(D2:D201,"ST",E2:E201,"B",M2:M201,"C+")</f>
        <v>0</v>
      </c>
      <c r="AQ8" s="9">
        <f>COUNTIFS(D2:D201,"ST",E2:E201,"G",M2:M201,"C+")</f>
        <v>0</v>
      </c>
      <c r="AR8" s="8">
        <f>COUNTIFS(D2:D201,"BC",E2:E201,"B",M2:M201,"C+")</f>
        <v>0</v>
      </c>
      <c r="AS8" s="9">
        <f>COUNTIFS(D2:D201,"BC",E2:E201,"G",M2:M201,"C+")</f>
        <v>0</v>
      </c>
      <c r="AT8" s="8">
        <f>COUNTIFS(D2:D201,"OC",E2:E201,"B",M2:M201,"C+")</f>
        <v>0</v>
      </c>
      <c r="AU8" s="9">
        <f>COUNTIFS(D2:D201,"OC",E2:E201,"G",M2:M201,"C+")</f>
        <v>0</v>
      </c>
      <c r="AV8" s="8">
        <f>COUNTIFS(D2:D201,"MUSLIM",E2:E201,"B",M2:M201,"C+")</f>
        <v>0</v>
      </c>
      <c r="AW8" s="9">
        <f>COUNTIFS(D2:D201,"MUSLIM",E2:E201,"G",M2:M201,"C+")</f>
        <v>0</v>
      </c>
      <c r="AX8" s="8">
        <f t="shared" si="4"/>
        <v>0</v>
      </c>
      <c r="AY8" s="8">
        <f t="shared" si="5"/>
        <v>0</v>
      </c>
      <c r="AZ8" s="12">
        <f t="shared" si="6"/>
        <v>0</v>
      </c>
    </row>
    <row r="9" spans="1:67" ht="31.5">
      <c r="A9" s="1">
        <v>8</v>
      </c>
      <c r="B9" s="1">
        <v>90066</v>
      </c>
      <c r="C9" s="1">
        <v>648</v>
      </c>
      <c r="D9" s="1" t="s">
        <v>17</v>
      </c>
      <c r="E9" s="1" t="s">
        <v>8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44">
        <f t="shared" si="0"/>
        <v>6</v>
      </c>
      <c r="N9" s="1"/>
      <c r="W9" s="16" t="s">
        <v>34</v>
      </c>
      <c r="X9" s="16">
        <f>COUNTIFS(D2:D201,"SC",E2:E201,"B",N2:N201,"&gt;6.9")-SUM(X4:X8)</f>
        <v>0</v>
      </c>
      <c r="Y9" s="17">
        <f>COUNTIFS(D2:D201,"SC",E2:E201,"G",N2:N201,"&gt;6.9")-SUM(Y4:Y8)</f>
        <v>0</v>
      </c>
      <c r="Z9" s="16">
        <f>COUNTIFS(D2:D201,"ST",E2:E201,"B",N2:N201,"&gt;6.9")-SUM(Z4:Z8)</f>
        <v>0</v>
      </c>
      <c r="AA9" s="17">
        <f>COUNTIFS(D2:D201,"ST",E2:E201,"G",N2:N201,"&gt;6.9")-SUM(AA4:AA8)</f>
        <v>0</v>
      </c>
      <c r="AB9" s="16">
        <f>COUNTIFS(D2:D201,"BC",E2:E201,"B",N2:N201,"&gt;6.9")-SUM(AB4:AB8)</f>
        <v>0</v>
      </c>
      <c r="AC9" s="17">
        <f>COUNTIFS(D2:D201,"BC",E2:E201,"G",N2:N201,"&gt;6.9")-SUM(AC4:AC8)</f>
        <v>0</v>
      </c>
      <c r="AD9" s="16">
        <f>COUNTIFS(D2:D201,"OC",E2:E201,"B",N2:N201,"&gt;6.9")-SUM(AD4:AD8)</f>
        <v>0</v>
      </c>
      <c r="AE9" s="17">
        <f>COUNTIFS(D2:D201,"OC",E2:E201,"G",N2:N201,"&gt;6.9")-SUM(AE4:AE8)</f>
        <v>0</v>
      </c>
      <c r="AF9" s="16">
        <f>COUNTIFS(D2:D201,"MUSLIM",E2:E201,"B",N2:N201,"&gt;6.9")-SUM(AF4:AF8)</f>
        <v>0</v>
      </c>
      <c r="AG9" s="17">
        <f>COUNTIFS(D2:D201,"MUSLIM",E2:E201,"G",N2:N201,"&gt;6.9")-SUM(AG4:AG8)</f>
        <v>0</v>
      </c>
      <c r="AH9" s="19">
        <f t="shared" si="1"/>
        <v>0</v>
      </c>
      <c r="AI9" s="17">
        <f t="shared" si="2"/>
        <v>0</v>
      </c>
      <c r="AJ9" s="20">
        <f t="shared" si="3"/>
        <v>0</v>
      </c>
      <c r="AL9" s="4"/>
      <c r="AM9" s="10" t="s">
        <v>47</v>
      </c>
      <c r="AN9" s="8">
        <f>COUNTIFS(D2:D201,"SC",E2:E201,"B",M2:M201,"C")</f>
        <v>0</v>
      </c>
      <c r="AO9" s="9">
        <f>COUNTIFS(D2:D201,"SC",E2:E201,"G",M2:M201,"C")</f>
        <v>0</v>
      </c>
      <c r="AP9" s="8">
        <f>COUNTIFS(D2:D201,"ST",E2:E201,"B",M2:M201,"C")</f>
        <v>0</v>
      </c>
      <c r="AQ9" s="9">
        <f>COUNTIFS(D2:D201,"ST",E2:E201,"G",M2:M201,"C")</f>
        <v>0</v>
      </c>
      <c r="AR9" s="8">
        <f>COUNTIFS(D2:D201,"BC",E2:E201,"B",M2:M201,"C")</f>
        <v>0</v>
      </c>
      <c r="AS9" s="9">
        <f>COUNTIFS(D2:D201,"BC",E2:E201,"G",M2:M201,"C")</f>
        <v>0</v>
      </c>
      <c r="AT9" s="8">
        <f>COUNTIFS(D2:D201,"OC",E2:E201,"B",M2:M201,"C")</f>
        <v>0</v>
      </c>
      <c r="AU9" s="9">
        <f>COUNTIFS(D2:D201,"OC",E2:E201,"G",M2:M201,"C")</f>
        <v>0</v>
      </c>
      <c r="AV9" s="8">
        <f>COUNTIFS(D2:D201,"MUSLIM",E2:E201,"B",M2:M201,"C")</f>
        <v>0</v>
      </c>
      <c r="AW9" s="9">
        <f>COUNTIFS(D2:D201,"MUSLIM",E2:E201,"G",M2:M201,"C")</f>
        <v>0</v>
      </c>
      <c r="AX9" s="8">
        <f t="shared" si="4"/>
        <v>0</v>
      </c>
      <c r="AY9" s="8">
        <f t="shared" si="5"/>
        <v>0</v>
      </c>
      <c r="AZ9" s="12">
        <f t="shared" si="6"/>
        <v>0</v>
      </c>
    </row>
    <row r="10" spans="1:67" ht="31.5">
      <c r="A10" s="1">
        <v>9</v>
      </c>
      <c r="B10" s="1">
        <v>90066</v>
      </c>
      <c r="C10" s="1">
        <v>650</v>
      </c>
      <c r="D10" s="1" t="s">
        <v>15</v>
      </c>
      <c r="E10" s="1" t="s">
        <v>8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44">
        <f t="shared" si="0"/>
        <v>6</v>
      </c>
      <c r="N10" s="1"/>
      <c r="W10" s="16" t="s">
        <v>25</v>
      </c>
      <c r="X10" s="16">
        <f>COUNTIFS(D2:D201,"SC",E2:E201,"B",N2:N201,"&gt;6.4")-SUM(X4:X9)</f>
        <v>0</v>
      </c>
      <c r="Y10" s="17">
        <f>COUNTIFS(D2:D201,"SC",E2:E201,"G",N2:N201,"&gt;6.4")-SUM(Y4:Y9)</f>
        <v>0</v>
      </c>
      <c r="Z10" s="16">
        <f>COUNTIFS(D2:D201,"ST",E2:E201,"B",N2:N201,"&gt;6.4")-SUM(Z4:Z9)</f>
        <v>0</v>
      </c>
      <c r="AA10" s="17">
        <f>COUNTIFS(D2:D201,"ST",E2:E201,"G",N2:N201,"&gt;6.4")-SUM(AA4:AA9)</f>
        <v>0</v>
      </c>
      <c r="AB10" s="16">
        <f>COUNTIFS(D2:D201,"BC",E2:E201,"B",N2:N201,"&gt;6.4")-SUM(AB4:AB9)</f>
        <v>0</v>
      </c>
      <c r="AC10" s="17">
        <f>COUNTIFS(D2:D201,"BC",E2:E201,"G",N2:N201,"&gt;6.4")-SUM(AC4:AC9)</f>
        <v>0</v>
      </c>
      <c r="AD10" s="16">
        <f>COUNTIFS(D2:D201,"OC",E2:E201,"B",N2:N201,"&gt;6.4")-SUM(AD4:AD9)</f>
        <v>0</v>
      </c>
      <c r="AE10" s="17">
        <f>COUNTIFS(D2:D201,"OC",E2:E201,"G",N2:N201,"&gt;6.4")-SUM(AE4:AE9)</f>
        <v>0</v>
      </c>
      <c r="AF10" s="17">
        <f>COUNTIFS(D2:D201,"MUSLIM",E2:E201,"B",N2:N201,"&gt;6.4")-SUM(AF4:AF9)</f>
        <v>0</v>
      </c>
      <c r="AG10" s="17">
        <f>COUNTIFS(D2:D201,"MUSLIM",E2:E201,"G",N2:N201,"&gt;6.4")-SUM(AG4:AG9)</f>
        <v>0</v>
      </c>
      <c r="AH10" s="19">
        <f t="shared" si="1"/>
        <v>0</v>
      </c>
      <c r="AI10" s="17">
        <f t="shared" si="2"/>
        <v>0</v>
      </c>
      <c r="AJ10" s="20">
        <f t="shared" si="3"/>
        <v>0</v>
      </c>
      <c r="AM10" s="10" t="s">
        <v>10</v>
      </c>
      <c r="AN10" s="8">
        <f>COUNTIFS(D2:D201,"SC",E2:E201,"B",M2:M201,"D+")</f>
        <v>0</v>
      </c>
      <c r="AO10" s="9">
        <f>COUNTIFS(D2:D201,"SC",E2:E201,"G",M2:M201,"D+")</f>
        <v>0</v>
      </c>
      <c r="AP10" s="8">
        <f>COUNTIFS(D2:D201,"ST",E2:E201,"B",M2:M201,"D+")</f>
        <v>0</v>
      </c>
      <c r="AQ10" s="9">
        <f>COUNTIFS(D2:D201,"ST",E2:E201,"G",M2:M201,"D+")</f>
        <v>0</v>
      </c>
      <c r="AR10" s="8">
        <f>COUNTIFS(D2:D201,"BC",E2:E201,"B",M2:M201,"D+")</f>
        <v>0</v>
      </c>
      <c r="AS10" s="9">
        <f>COUNTIFS(D2:D201,"BC",E2:E201,"G",M2:M201,"D+")</f>
        <v>0</v>
      </c>
      <c r="AT10" s="8">
        <f>COUNTIFS(D2:D201,"OC",E2:E201,"B",M2:M201,"D+")</f>
        <v>0</v>
      </c>
      <c r="AU10" s="9">
        <f>COUNTIFS(D2:D201,"OC",E2:E201,"G",M2:M201,"D+")</f>
        <v>0</v>
      </c>
      <c r="AV10" s="8">
        <f>COUNTIFS(D2:D201,"MUSLIM",E2:E201,"B",M2:M201,"D+")</f>
        <v>0</v>
      </c>
      <c r="AW10" s="9">
        <f>COUNTIFS(D2:D201,"MUSLIM",E2:E201,"G",M2:M201,"D+")</f>
        <v>0</v>
      </c>
      <c r="AX10" s="8">
        <f t="shared" si="4"/>
        <v>0</v>
      </c>
      <c r="AY10" s="8">
        <f t="shared" si="5"/>
        <v>0</v>
      </c>
      <c r="AZ10" s="12">
        <f t="shared" si="6"/>
        <v>0</v>
      </c>
    </row>
    <row r="11" spans="1:67" ht="31.5">
      <c r="A11" s="1">
        <v>10</v>
      </c>
      <c r="B11" s="1">
        <v>90066</v>
      </c>
      <c r="C11" s="1">
        <v>652</v>
      </c>
      <c r="D11" s="1" t="s">
        <v>17</v>
      </c>
      <c r="E11" s="1" t="s">
        <v>8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44">
        <f t="shared" si="0"/>
        <v>6</v>
      </c>
      <c r="N11" s="1"/>
      <c r="W11" s="16" t="s">
        <v>26</v>
      </c>
      <c r="X11" s="16">
        <f>COUNTIFS(D2:D201,"SC",E2:E201,"B",N2:N201,"&gt;5.9")-SUM(X4:X10)</f>
        <v>0</v>
      </c>
      <c r="Y11" s="17">
        <f>COUNTIFS(D2:D201,"SC",E2:E201,"G",N2:N201,"&gt;5.9")-SUM(Y4:Y10)</f>
        <v>0</v>
      </c>
      <c r="Z11" s="16">
        <f>COUNTIFS(D2:D201,"ST",E2:E201,"B",N2:N201,"&gt;5.9")-SUM(Z4:Z10)</f>
        <v>0</v>
      </c>
      <c r="AA11" s="17">
        <f>COUNTIFS(D2:D201,"ST",E2:E201,"G",N2:N201,"&gt;5.9")-SUM(AA4:AA10)</f>
        <v>0</v>
      </c>
      <c r="AB11" s="16">
        <f>COUNTIFS(D2:D201,"BC",E2:E201,"B",N2:N201,"&gt;5.9")-SUM(AB4:AB10)</f>
        <v>0</v>
      </c>
      <c r="AC11" s="17">
        <f>COUNTIFS(D2:D201,"BC",E2:E201,"G",N2:N201,"&gt;5.9")-SUM(AC4:AC10)</f>
        <v>0</v>
      </c>
      <c r="AD11" s="16">
        <f>COUNTIFS(D2:D201,"OC",E2:E201,"B",N2:N201,"&gt;5.9")-SUM(AD4:AD10)</f>
        <v>0</v>
      </c>
      <c r="AE11" s="17">
        <f>COUNTIFS(D2:D201,"OC",E2:E201,"G",N2:N201,"&gt;5.9")-SUM(AE4:AE10)</f>
        <v>0</v>
      </c>
      <c r="AF11" s="16">
        <f>COUNTIFS(D2:D201,"MUSLIM",E2:E201,"B",N2:N201,"&gt;5.9")-SUM(AF4:AF10)</f>
        <v>0</v>
      </c>
      <c r="AG11" s="17">
        <f>COUNTIFS(D2:D201,"MUSLIM",E2:E201,"G",N2:N201,"&gt;5.9")-SUM(AG4:AG10)</f>
        <v>0</v>
      </c>
      <c r="AH11" s="19">
        <f t="shared" si="1"/>
        <v>0</v>
      </c>
      <c r="AI11" s="17">
        <f t="shared" si="2"/>
        <v>0</v>
      </c>
      <c r="AJ11" s="20">
        <f t="shared" si="3"/>
        <v>0</v>
      </c>
      <c r="AM11" s="10" t="s">
        <v>48</v>
      </c>
      <c r="AN11" s="8">
        <f>COUNTIFS(D2:D201,"SC",E2:E201,"B",M2:M201,"D")</f>
        <v>0</v>
      </c>
      <c r="AO11" s="9">
        <f>COUNTIFS(D2:D201,"SC",E2:E201,"G",M2:M201,"D")</f>
        <v>0</v>
      </c>
      <c r="AP11" s="8">
        <f>COUNTIFS(D2:D201,"ST",E2:E201,"B",M2:M201,"D")</f>
        <v>0</v>
      </c>
      <c r="AQ11" s="9">
        <f>COUNTIFS(D2:D201,"ST",E2:E201,"G",M2:M201,"D")</f>
        <v>0</v>
      </c>
      <c r="AR11" s="8">
        <f>COUNTIFS(D2:D201,"BC",E2:E201,"B",M2:M201,"D")</f>
        <v>0</v>
      </c>
      <c r="AS11" s="9">
        <f>COUNTIFS(D2:D201,"BC",E2:E201,"G",M2:M201,"D")</f>
        <v>0</v>
      </c>
      <c r="AT11" s="8">
        <f>COUNTIFS(D2:D201,"OC",E2:E201,"B",M2:M201,"D")</f>
        <v>0</v>
      </c>
      <c r="AU11" s="9">
        <f>COUNTIFS(D2:D201,"OC",E2:E201,"G",M2:M201,"D")</f>
        <v>0</v>
      </c>
      <c r="AV11" s="8">
        <f>COUNTIFS(D2:D201,"MUSLIM",E2:E201,"B",M2:M201,"D")</f>
        <v>0</v>
      </c>
      <c r="AW11" s="9">
        <f>COUNTIFS(D2:D201,"MUSLIM",E2:E201,"G",M2:M201,"D")</f>
        <v>0</v>
      </c>
      <c r="AX11" s="8">
        <f t="shared" si="4"/>
        <v>0</v>
      </c>
      <c r="AY11" s="8">
        <f t="shared" si="5"/>
        <v>0</v>
      </c>
      <c r="AZ11" s="12">
        <f t="shared" si="6"/>
        <v>0</v>
      </c>
    </row>
    <row r="12" spans="1:67" ht="31.5">
      <c r="A12" s="1">
        <v>11</v>
      </c>
      <c r="B12" s="1">
        <v>90066</v>
      </c>
      <c r="C12" s="1">
        <v>654</v>
      </c>
      <c r="D12" s="1" t="s">
        <v>15</v>
      </c>
      <c r="E12" s="1" t="s">
        <v>8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44">
        <f t="shared" si="0"/>
        <v>6</v>
      </c>
      <c r="N12" s="1"/>
      <c r="W12" s="16" t="s">
        <v>35</v>
      </c>
      <c r="X12" s="16">
        <f>COUNTIFS(D2:D201,"SC",E2:E201,"B",N2:N201,"&gt;5.4")-SUM(X4:X11)</f>
        <v>0</v>
      </c>
      <c r="Y12" s="17">
        <f>COUNTIFS(D2:D201,"SC",E2:E201,"G",N2:N201,"&gt;5.4")-SUM(Y4:Y11)</f>
        <v>0</v>
      </c>
      <c r="Z12" s="16">
        <f>COUNTIFS(D2:D201,"ST",E2:E201,"B",N2:N201,"&gt;5.4")-SUM(Z4:Z11)</f>
        <v>0</v>
      </c>
      <c r="AA12" s="17">
        <f>COUNTIFS(D2:D201,"ST",E2:E201,"G",N2:N201,"&gt;5.4")-SUM(AA4:AA11)</f>
        <v>0</v>
      </c>
      <c r="AB12" s="16">
        <f>COUNTIFS(D2:D201,"BC",E2:E201,"B",N2:N201,"&gt;5.4")-SUM(AB4:AB11)</f>
        <v>0</v>
      </c>
      <c r="AC12" s="17">
        <f>COUNTIFS(D2:D201,"BC",E2:E201,"G",N2:N201,"&gt;5.4")-SUM(AC4:AC11)</f>
        <v>0</v>
      </c>
      <c r="AD12" s="16">
        <f>COUNTIFS(D2:D201,"OC",E2:E201,"B",N2:N201,"&gt;5.4")-SUM(AD4:AD11)</f>
        <v>0</v>
      </c>
      <c r="AE12" s="17">
        <f>COUNTIFS(D2:D201,"OC",E2:E201,"G",N2:N201,"&gt;5.4")-SUM(AE4:AE11)</f>
        <v>0</v>
      </c>
      <c r="AF12" s="16">
        <f>COUNTIFS(D2:D201,"MUSLIM",E2:E201,"B",N2:N201,"&gt;5.4")-SUM(AF4:AF11)</f>
        <v>0</v>
      </c>
      <c r="AG12" s="17">
        <f>COUNTIFS(D2:D201,"MUSLIM",E2:E201,"G",N2:N201,"&gt;5.4")-SUM(AG4:AG11)</f>
        <v>0</v>
      </c>
      <c r="AH12" s="19">
        <f t="shared" si="1"/>
        <v>0</v>
      </c>
      <c r="AI12" s="17">
        <f t="shared" si="2"/>
        <v>0</v>
      </c>
      <c r="AJ12" s="20">
        <f t="shared" si="3"/>
        <v>0</v>
      </c>
      <c r="AM12" s="10" t="s">
        <v>11</v>
      </c>
      <c r="AN12" s="8">
        <f>COUNTIFS(D2:D201,"SC",E2:E201,"B",M2:M201,"E")</f>
        <v>0</v>
      </c>
      <c r="AO12" s="9">
        <f>COUNTIFS(D2:D201,"SC",E2:E201,"G",M2:M201,"E")</f>
        <v>0</v>
      </c>
      <c r="AP12" s="8">
        <f>COUNTIFS(D2:D201,"ST",E2:E201,"B",M2:M201,"E")</f>
        <v>0</v>
      </c>
      <c r="AQ12" s="9">
        <f>COUNTIFS(D2:D201,"ST",E2:E201,"G",M2:M201,"E")</f>
        <v>0</v>
      </c>
      <c r="AR12" s="8">
        <f>COUNTIFS(D2:D201,"BC",E2:E201,"B",M2:M201,"E")</f>
        <v>0</v>
      </c>
      <c r="AS12" s="9">
        <f>COUNTIFS(D2:D201,"BC",E2:E201,"G",M2:M201,"E")</f>
        <v>0</v>
      </c>
      <c r="AT12" s="8">
        <f>COUNTIFS(D2:D201,"OC",E2:E201,"B",M2:M201,"E")</f>
        <v>0</v>
      </c>
      <c r="AU12" s="9">
        <f>COUNTIFS(D2:D201,"OC",E2:E201,"G",M2:M201,"E")</f>
        <v>0</v>
      </c>
      <c r="AV12" s="8">
        <f>COUNTIFS(D2:D201,"MUSLIM",E2:E201,"B",M2:M201,"E")</f>
        <v>0</v>
      </c>
      <c r="AW12" s="9">
        <f>COUNTIFS(D2:D201,"MUSLIM",E2:E201,"G",M2:M201,"E")</f>
        <v>0</v>
      </c>
      <c r="AX12" s="8">
        <f t="shared" si="4"/>
        <v>0</v>
      </c>
      <c r="AY12" s="8">
        <f t="shared" si="5"/>
        <v>0</v>
      </c>
      <c r="AZ12" s="12">
        <f t="shared" si="6"/>
        <v>0</v>
      </c>
    </row>
    <row r="13" spans="1:67" ht="31.5">
      <c r="A13" s="1">
        <v>12</v>
      </c>
      <c r="B13" s="1">
        <v>90066</v>
      </c>
      <c r="C13" s="1">
        <v>656</v>
      </c>
      <c r="D13" s="1" t="s">
        <v>17</v>
      </c>
      <c r="E13" s="1" t="s">
        <v>8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44">
        <f t="shared" si="0"/>
        <v>6</v>
      </c>
      <c r="N13" s="1"/>
      <c r="W13" s="16" t="s">
        <v>27</v>
      </c>
      <c r="X13" s="16">
        <f>COUNTIFS(D2:D201,"SC",E2:E201,"B",N2:N201,"&gt;4.9")-SUM(X4:X12)</f>
        <v>0</v>
      </c>
      <c r="Y13" s="17">
        <f>COUNTIFS(D2:D201,"SC",E2:E201,"G",N2:N201,"&gt;4.9")-SUM(Y4:Y12)</f>
        <v>0</v>
      </c>
      <c r="Z13" s="16">
        <f>COUNTIFS(D2:D201,"ST",E2:E201,"B",N2:N201,"&gt;4.9")-SUM(Z4:Z12)</f>
        <v>0</v>
      </c>
      <c r="AA13" s="17">
        <f>COUNTIFS(D2:D201,"ST",E2:E201,"G",N2:N201,"&gt;4.9")-SUM(AA4:AA12)</f>
        <v>0</v>
      </c>
      <c r="AB13" s="16">
        <f>COUNTIFS(D2:D201,"BC",E2:E201,"B",N2:N201,"&gt;4.9")-SUM(AB4:AB12)</f>
        <v>0</v>
      </c>
      <c r="AC13" s="17">
        <f>COUNTIFS(D2:D201,"BC",E2:E201,"G",N2:N201,"&gt;4.9")-SUM(AC4:AC12)</f>
        <v>0</v>
      </c>
      <c r="AD13" s="16">
        <f>COUNTIFS(D2:D201,"OC",E2:E201,"B",N2:N201,"&gt;4.9")-SUM(AD4:AD12)</f>
        <v>0</v>
      </c>
      <c r="AE13" s="17">
        <f>COUNTIFS(D2:D201,"OC",E2:E201,"G",N2:N201,"&gt;4.9")-SUM(AE4:AE12)</f>
        <v>0</v>
      </c>
      <c r="AF13" s="16">
        <f>COUNTIFS(D2:D201,"MUSLIM",E2:E201,"B",N2:N201,"&gt;4.9")-SUM(AF4:AF12)</f>
        <v>0</v>
      </c>
      <c r="AG13" s="17">
        <f>COUNTIFS(D2:D201,"MUSLIM",E2:E201,"G",N2:N201,"&gt;4.9")-SUM(AG4:AG12)</f>
        <v>0</v>
      </c>
      <c r="AH13" s="19">
        <f t="shared" si="1"/>
        <v>0</v>
      </c>
      <c r="AI13" s="17">
        <f t="shared" si="2"/>
        <v>0</v>
      </c>
      <c r="AJ13" s="20">
        <f t="shared" si="3"/>
        <v>0</v>
      </c>
      <c r="AM13" s="18" t="s">
        <v>13</v>
      </c>
      <c r="AN13" s="11">
        <f>SUM(AN4:AN12)</f>
        <v>0</v>
      </c>
      <c r="AO13" s="11">
        <f t="shared" ref="AO13:AZ13" si="7">SUM(AO4:AO12)</f>
        <v>0</v>
      </c>
      <c r="AP13" s="11">
        <f t="shared" si="7"/>
        <v>15</v>
      </c>
      <c r="AQ13" s="11">
        <f t="shared" si="7"/>
        <v>0</v>
      </c>
      <c r="AR13" s="11">
        <f t="shared" si="7"/>
        <v>0</v>
      </c>
      <c r="AS13" s="11">
        <f t="shared" si="7"/>
        <v>0</v>
      </c>
      <c r="AT13" s="11">
        <f t="shared" si="7"/>
        <v>0</v>
      </c>
      <c r="AU13" s="11">
        <f t="shared" si="7"/>
        <v>0</v>
      </c>
      <c r="AV13" s="11">
        <f t="shared" si="7"/>
        <v>0</v>
      </c>
      <c r="AW13" s="11">
        <f t="shared" si="7"/>
        <v>0</v>
      </c>
      <c r="AX13" s="11">
        <f t="shared" si="7"/>
        <v>15</v>
      </c>
      <c r="AY13" s="11">
        <f t="shared" si="7"/>
        <v>0</v>
      </c>
      <c r="AZ13" s="11">
        <f t="shared" si="7"/>
        <v>15</v>
      </c>
    </row>
    <row r="14" spans="1:67" ht="31.5">
      <c r="A14" s="1">
        <v>13</v>
      </c>
      <c r="B14" s="1">
        <v>90066</v>
      </c>
      <c r="C14" s="1">
        <v>658</v>
      </c>
      <c r="D14" s="1" t="s">
        <v>15</v>
      </c>
      <c r="E14" s="1" t="s">
        <v>8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44">
        <f t="shared" si="0"/>
        <v>6</v>
      </c>
      <c r="N14" s="1"/>
      <c r="W14" s="16" t="s">
        <v>36</v>
      </c>
      <c r="X14" s="16">
        <f>COUNTIFS(D2:D201,"SC",E2:E201,"B",N2:N201,"&gt;4.4")-SUM(X4:X13)</f>
        <v>0</v>
      </c>
      <c r="Y14" s="17">
        <f>COUNTIFS(D2:D201,"SC",E2:E201,"G",N2:N201,"&gt;4.4")-SUM(Y4:Y13)</f>
        <v>0</v>
      </c>
      <c r="Z14" s="16">
        <f>COUNTIFS(D2:D201,"ST",E2:E201,"B",N2:N201,"&gt;4.4")-SUM(Z4:Z13)</f>
        <v>0</v>
      </c>
      <c r="AA14" s="17">
        <f>COUNTIFS(D2:D201,"ST",E2:E201,"G",N2:N201,"&gt;4.4")-SUM(AA4:AA13)</f>
        <v>0</v>
      </c>
      <c r="AB14" s="16">
        <f>COUNTIFS(D2:D201,"BC",E2:E201,"B",N2:N201,"&gt;4.4")-SUM(AB4:AB13)</f>
        <v>0</v>
      </c>
      <c r="AC14" s="17">
        <f>COUNTIFS(D2:D201,"BC",E2:E201,"G",N2:N201,"&gt;4.4")-SUM(AC4:AC13)</f>
        <v>0</v>
      </c>
      <c r="AD14" s="16">
        <f>COUNTIFS(D2:D201,"OC",E2:E201,"B",N2:N201,"&gt;4.4")-SUM(AD4:AD13)</f>
        <v>0</v>
      </c>
      <c r="AE14" s="17">
        <f>COUNTIFS(D2:D201,"OC",E2:E201,"G",N2:N201,"&gt;4.4")-SUM(AE4:AE13)</f>
        <v>0</v>
      </c>
      <c r="AF14" s="16">
        <f>COUNTIFS(D2:D201,"MUSLIM",E2:E201,"B",N2:N201,"&gt;4.4")-SUM(AF4:AF13)</f>
        <v>0</v>
      </c>
      <c r="AG14" s="17">
        <f>COUNTIFS(D2:D201,"MUSLIM",E2:E201,"G",N2:N201,"&gt;4.4")-SUM(AG4:AG13)</f>
        <v>0</v>
      </c>
      <c r="AH14" s="19">
        <f t="shared" si="1"/>
        <v>0</v>
      </c>
      <c r="AI14" s="17">
        <f t="shared" si="2"/>
        <v>0</v>
      </c>
      <c r="AJ14" s="20">
        <f t="shared" si="3"/>
        <v>0</v>
      </c>
      <c r="AM14" s="7"/>
    </row>
    <row r="15" spans="1:67" ht="31.5">
      <c r="A15" s="1">
        <v>14</v>
      </c>
      <c r="B15" s="1">
        <v>90066</v>
      </c>
      <c r="C15" s="1">
        <v>660</v>
      </c>
      <c r="D15" s="1" t="s">
        <v>15</v>
      </c>
      <c r="E15" s="1" t="s">
        <v>8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44">
        <f t="shared" si="0"/>
        <v>6</v>
      </c>
      <c r="N15" s="1"/>
      <c r="W15" s="16" t="s">
        <v>28</v>
      </c>
      <c r="X15" s="16">
        <f>COUNTIFS(D2:D201,"SC",E2:E201,"B",N2:N201,"&gt;3.9")-SUM(X4:X14)</f>
        <v>0</v>
      </c>
      <c r="Y15" s="17">
        <f>COUNTIFS(D2:D201,"SC",E2:E201,"G",N2:N201,"&gt;3.9")-SUM(Y4:Y14)</f>
        <v>0</v>
      </c>
      <c r="Z15" s="16">
        <f>COUNTIFS(D2:D201,"ST",E2:E201,"B",N2:N201,"&gt;3.9")-SUM(Z4:Z14)</f>
        <v>0</v>
      </c>
      <c r="AA15" s="17">
        <f>COUNTIFS(D2:D201,"ST",E2:E201,"G",N2:N201,"&gt;3.9")-SUM(AA4:AA14)</f>
        <v>0</v>
      </c>
      <c r="AB15" s="16">
        <f>COUNTIFS(D2:D201,"BC",E2:E201,"B",N2:N201,"&gt;3.9")-SUM(AB4:AB14)</f>
        <v>0</v>
      </c>
      <c r="AC15" s="17">
        <f>COUNTIFS(D2:D201,"BC",E2:E201,"G",N2:N201,"&gt;3.9")-SUM(AC4:AC14)</f>
        <v>0</v>
      </c>
      <c r="AD15" s="16">
        <f>COUNTIFS(D2:D201,"OC",E2:E201,"B",N2:N201,"&gt;3.9")-SUM(AD4:AD14)</f>
        <v>0</v>
      </c>
      <c r="AE15" s="17">
        <f>COUNTIFS(D2:D201,"OC",E2:E201,"G",N2:N201,"&gt;3.9")-SUM(AE4:AE14)</f>
        <v>0</v>
      </c>
      <c r="AF15" s="16">
        <f>COUNTIFS(D2:D201,"MUSLIM",E2:E201,"B",N2:N201,"&gt;4.4")-SUM(AF4:AF14)</f>
        <v>0</v>
      </c>
      <c r="AG15" s="17">
        <f>COUNTIFS(D2:D201,"MUSLIM",E2:E201,"G",N2:N201,"&gt;3.9")-SUM(AG4:AG14)</f>
        <v>0</v>
      </c>
      <c r="AH15" s="19">
        <f t="shared" si="1"/>
        <v>0</v>
      </c>
      <c r="AI15" s="17">
        <f t="shared" si="2"/>
        <v>0</v>
      </c>
      <c r="AJ15" s="20">
        <f t="shared" si="3"/>
        <v>0</v>
      </c>
      <c r="AM15" s="7"/>
    </row>
    <row r="16" spans="1:67" ht="31.5">
      <c r="A16" s="1">
        <v>15</v>
      </c>
      <c r="B16" s="1">
        <v>90066</v>
      </c>
      <c r="C16" s="1">
        <v>662</v>
      </c>
      <c r="D16" s="1" t="s">
        <v>17</v>
      </c>
      <c r="E16" s="1" t="s">
        <v>8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44">
        <f t="shared" si="0"/>
        <v>6</v>
      </c>
      <c r="N16" s="1"/>
      <c r="W16" s="16" t="s">
        <v>37</v>
      </c>
      <c r="X16" s="16">
        <f>COUNTIFS(D2:D201,"SC",E2:E201,"B",N2:N201,"&gt;3.4")-SUM(X4:X15)</f>
        <v>0</v>
      </c>
      <c r="Y16" s="17">
        <f>COUNTIFS(D2:D201,"SC",E2:E201,"G",N2:N201,"&gt;3.4")-SUM(Y4:Y15)</f>
        <v>0</v>
      </c>
      <c r="Z16" s="16">
        <f>COUNTIFS(D2:D201,"ST",E2:E201,"B",N2:N201,"&gt;3.4")-SUM(Z4:Z15)</f>
        <v>0</v>
      </c>
      <c r="AA16" s="17">
        <f>COUNTIFS(D2:D201,"ST",E2:E201,"G",N2:N201,"&gt;3.4")-SUM(AA4:AA15)</f>
        <v>0</v>
      </c>
      <c r="AB16" s="16">
        <f>COUNTIFS(D2:D201,"BC",E2:E201,"B",N2:N201,"&gt;3.4")-SUM(AB4:AB15)</f>
        <v>0</v>
      </c>
      <c r="AC16" s="17">
        <f>COUNTIFS(D2:D201,"BC",E2:E201,"G",N2:N201,"&gt;3.4")-SUM(AC4:AC15)</f>
        <v>0</v>
      </c>
      <c r="AD16" s="16">
        <f>COUNTIFS(D2:D201,"OC",E2:E201,"B",N2:N201,"&gt;3.4")-SUM(AD4:AD15)</f>
        <v>0</v>
      </c>
      <c r="AE16" s="17">
        <f>COUNTIFS(D2:D201,"OC",E2:E201,"G",N2:N201,"&gt;3.4")-SUM(AE4:AE15)</f>
        <v>0</v>
      </c>
      <c r="AF16" s="16">
        <f>COUNTIFS(D2:D201,"MUSLIM",E2:E201,"B",N2:N201,"&gt;3.9")-SUM(AF4:AF15)</f>
        <v>0</v>
      </c>
      <c r="AG16" s="17">
        <f>COUNTIFS(D2:D201,"MUSLIM",E2:E201,"G",N2:N201,"&gt;3.4")-SUM(AG4:AG15)</f>
        <v>0</v>
      </c>
      <c r="AH16" s="19">
        <f t="shared" si="1"/>
        <v>0</v>
      </c>
      <c r="AI16" s="17">
        <f t="shared" si="2"/>
        <v>0</v>
      </c>
      <c r="AJ16" s="20">
        <f t="shared" si="3"/>
        <v>0</v>
      </c>
      <c r="AM16" s="7"/>
    </row>
    <row r="17" spans="1:39" ht="31.5">
      <c r="A17" s="1">
        <v>16</v>
      </c>
      <c r="B17" s="1">
        <v>90066</v>
      </c>
      <c r="C17" s="1">
        <v>664</v>
      </c>
      <c r="D17" s="1" t="s">
        <v>17</v>
      </c>
      <c r="E17" s="1" t="s">
        <v>8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44">
        <f t="shared" si="0"/>
        <v>6</v>
      </c>
      <c r="N17" s="1"/>
      <c r="W17" s="16" t="s">
        <v>29</v>
      </c>
      <c r="X17" s="16">
        <f>COUNTIFS(D2:D201,"SC",E2:E201,"B",N2:N201,"&gt;2.9")-SUM(X4:X16)</f>
        <v>0</v>
      </c>
      <c r="Y17" s="17">
        <f>COUNTIFS(D2:D201,"SC",E2:E201,"G",N2:N201,"&gt;2.9")-SUM(Y4:Y16)</f>
        <v>0</v>
      </c>
      <c r="Z17" s="16">
        <f>COUNTIFS(D2:D201,"ST",E2:E201,"B",N2:N201,"&gt;2.9")-SUM(Z4:Z16)</f>
        <v>0</v>
      </c>
      <c r="AA17" s="17">
        <f>COUNTIFS(D2:D201,"ST",E2:E201,"G",N2:N201,"&gt;2.9")-SUM(AA4:AA16)</f>
        <v>0</v>
      </c>
      <c r="AB17" s="16">
        <f>COUNTIFS(D2:D201,"BC",E2:E201,"B",N2:N201,"&gt;2.9")-SUM(AB4:AB16)</f>
        <v>0</v>
      </c>
      <c r="AC17" s="17">
        <f>COUNTIFS(D2:D201,"BC",E2:E201,"G",N2:N201,"&gt;2.9")-SUM(AC4:AC16)</f>
        <v>0</v>
      </c>
      <c r="AD17" s="16">
        <f>COUNTIFS(D2:D201,"OC",E2:E201,"B",N2:N201,"&gt;2.9")-SUM(AD4:AD16)</f>
        <v>0</v>
      </c>
      <c r="AE17" s="17">
        <f>COUNTIFS(D2:D201,"OC",E2:E201,"G",N2:N201,"&gt;2.9")-SUM(AE4:AE16)</f>
        <v>0</v>
      </c>
      <c r="AF17" s="16">
        <f>COUNTIFS(D2:D201,"MUSLIM",E2:E201,"B",N2:N201,"&gt;3.4")-SUM(AF4:AF16)</f>
        <v>0</v>
      </c>
      <c r="AG17" s="17">
        <f>COUNTIFS(D2:D201,"MUSLIM",E2:E201,"G",N2:N201,"&gt;2.9")-SUM(AG4:AG16)</f>
        <v>0</v>
      </c>
      <c r="AH17" s="19">
        <f t="shared" si="1"/>
        <v>0</v>
      </c>
      <c r="AI17" s="17">
        <f t="shared" si="2"/>
        <v>0</v>
      </c>
      <c r="AJ17" s="20">
        <f t="shared" si="3"/>
        <v>0</v>
      </c>
      <c r="AM17" s="7"/>
    </row>
    <row r="18" spans="1:39" ht="31.5">
      <c r="A18" s="1">
        <v>17</v>
      </c>
      <c r="B18" s="1">
        <v>90066</v>
      </c>
      <c r="C18" s="1">
        <v>666</v>
      </c>
      <c r="D18" s="1" t="s">
        <v>15</v>
      </c>
      <c r="E18" s="1" t="s">
        <v>8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44">
        <f t="shared" si="0"/>
        <v>6</v>
      </c>
      <c r="N18" s="1"/>
      <c r="W18" s="16" t="s">
        <v>38</v>
      </c>
      <c r="X18" s="16">
        <f>COUNTIFS(D2:D201,"SC",E2:E201,"B",N2:N201,"&gt;2.4")-SUM(X4:X17)</f>
        <v>0</v>
      </c>
      <c r="Y18" s="17">
        <f>COUNTIFS(D2:D201,"SC",E2:E201,"G",N2:N201,"&gt;2.4")-SUM(Y4:Y17)</f>
        <v>0</v>
      </c>
      <c r="Z18" s="16">
        <f>COUNTIFS(D2:D201,"ST",E2:E201,"B",N2:N201,"&gt;2.4")-SUM(Z4:Z17)</f>
        <v>0</v>
      </c>
      <c r="AA18" s="17">
        <f>COUNTIFS(D2:D201,"ST",E2:E201,"G",N2:N201,"&gt;2.4")-SUM(AA4:AA17)</f>
        <v>0</v>
      </c>
      <c r="AB18" s="16">
        <f>COUNTIFS(D2:D201,"BC",E2:E201,"B",N2:N201,"&gt;2.4")-SUM(AB4:AB17)</f>
        <v>0</v>
      </c>
      <c r="AC18" s="17">
        <f>COUNTIFS(D2:D201,"BC",E2:E201,"G",N2:N201,"&gt;2.4")-SUM(AC4:AC17)</f>
        <v>0</v>
      </c>
      <c r="AD18" s="16">
        <f>COUNTIFS(D2:D201,"OC",E2:E201,"B",N2:N201,"&gt;2.4")-SUM(AD4:AD17)</f>
        <v>0</v>
      </c>
      <c r="AE18" s="17">
        <f>COUNTIFS(D2:D201,"OC",E2:E201,"G",N2:N201,"&gt;2.4")-SUM(AE4:AE17)</f>
        <v>0</v>
      </c>
      <c r="AF18" s="16">
        <f>COUNTIFS(D2:D201,"MUSLIM",E2:E201,"B",N2:N201,"&gt;2.9")-SUM(AF4:AF17)</f>
        <v>0</v>
      </c>
      <c r="AG18" s="17">
        <f>COUNTIFS(D2:D201,"MUSLIM",E2:E201,"G",N2:N201,"&gt;2.4")-SUM(AG4:AG17)</f>
        <v>0</v>
      </c>
      <c r="AH18" s="19">
        <f t="shared" si="1"/>
        <v>0</v>
      </c>
      <c r="AI18" s="17">
        <f t="shared" si="2"/>
        <v>0</v>
      </c>
      <c r="AJ18" s="20">
        <f t="shared" si="3"/>
        <v>0</v>
      </c>
      <c r="AM18" s="7"/>
    </row>
    <row r="19" spans="1:39" ht="31.5">
      <c r="A19" s="1">
        <v>18</v>
      </c>
      <c r="B19" s="1">
        <v>90066</v>
      </c>
      <c r="C19" s="1">
        <v>668</v>
      </c>
      <c r="D19" s="1" t="s">
        <v>17</v>
      </c>
      <c r="E19" s="1" t="s">
        <v>8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44">
        <f t="shared" si="0"/>
        <v>6</v>
      </c>
      <c r="N19" s="1"/>
      <c r="W19" s="16" t="s">
        <v>30</v>
      </c>
      <c r="X19" s="16">
        <f>COUNTIFS(D2:D201,"SC",E2:E201,"B",N2:N201,"&gt;1.9")-SUM(X4:X18)</f>
        <v>0</v>
      </c>
      <c r="Y19" s="17">
        <f>COUNTIFS(D2:D201,"SC",E2:E201,"G",N2:N201,"&gt;1.9")-SUM(Y4:Y18)</f>
        <v>0</v>
      </c>
      <c r="Z19" s="16">
        <f>COUNTIFS(D2:D201,"ST",E2:E201,"B",N2:N201,"&gt;1.9")-SUM(Z4:Z18)</f>
        <v>0</v>
      </c>
      <c r="AA19" s="17">
        <f>COUNTIFS(D2:D201,"ST",E2:E201,"G",N2:N201,"&gt;1.9")-SUM(AA4:AA18)</f>
        <v>0</v>
      </c>
      <c r="AB19" s="16">
        <f>COUNTIFS(D2:D201,"BC",E2:E201,"B",N2:N201,"&gt;1.9")-SUM(AB4:AB18)</f>
        <v>0</v>
      </c>
      <c r="AC19" s="17">
        <f>COUNTIFS(D2:D201,"BC",E2:E201,"G",N2:N201,"&gt;1.9")-SUM(AC4:AC18)</f>
        <v>0</v>
      </c>
      <c r="AD19" s="16">
        <f>COUNTIFS(D2:D201,"OC",E2:E201,"B",N2:N201,"&gt;1.9")-SUM(AD4:AD18)</f>
        <v>0</v>
      </c>
      <c r="AE19" s="17">
        <f>COUNTIFS(D2:D201,"OC",E2:E201,"G",N2:N201,"&gt;1.9")-SUM(AE4:AE18)</f>
        <v>0</v>
      </c>
      <c r="AF19" s="16">
        <f>COUNTIFS(D2:D201,"MUSLIM",E2:E201,"B",N2:N201,"&gt;2.4")-SUM(AF4:AF18)</f>
        <v>0</v>
      </c>
      <c r="AG19" s="17">
        <f>COUNTIFS(D2:D201,"MUSLIM",E2:E201,"G",N2:N201,"&gt;1.9")-SUM(AG4:AG18)</f>
        <v>0</v>
      </c>
      <c r="AH19" s="19">
        <f t="shared" si="1"/>
        <v>0</v>
      </c>
      <c r="AI19" s="17">
        <f t="shared" si="2"/>
        <v>0</v>
      </c>
      <c r="AJ19" s="20">
        <f t="shared" si="3"/>
        <v>0</v>
      </c>
      <c r="AM19" s="7"/>
    </row>
    <row r="20" spans="1:39" ht="31.5">
      <c r="A20" s="1">
        <v>19</v>
      </c>
      <c r="B20" s="1">
        <v>90066</v>
      </c>
      <c r="C20" s="1">
        <v>670</v>
      </c>
      <c r="D20" s="1" t="s">
        <v>17</v>
      </c>
      <c r="E20" s="1" t="s">
        <v>8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44">
        <f t="shared" si="0"/>
        <v>6</v>
      </c>
      <c r="N20" s="1"/>
      <c r="W20" s="16" t="s">
        <v>39</v>
      </c>
      <c r="X20" s="16">
        <f>COUNTIFS(D2:D201,"SC",E2:E201,"B",N2:N201,"&gt;1.4")-SUM(X4:X19)</f>
        <v>0</v>
      </c>
      <c r="Y20" s="17">
        <f>COUNTIFS(D2:D201,"SC",E2:E201,"G",N2:N201,"&gt;1.4")-SUM(Y4:Y19)</f>
        <v>0</v>
      </c>
      <c r="Z20" s="16">
        <f>COUNTIFS(D2:D201,"ST",E2:E201,"B",N2:N201,"&gt;1.4")-SUM(Z4:Z19)</f>
        <v>0</v>
      </c>
      <c r="AA20" s="17">
        <f>COUNTIFS(D2:D201,"ST",E2:E201,"G",N2:N201,"&gt;1.4")-SUM(AA4:AA19)</f>
        <v>0</v>
      </c>
      <c r="AB20" s="16">
        <f>COUNTIFS(D2:D201,"BC",E2:E201,"B",N2:N201,"&gt;1.4")-SUM(AB4:AB19)</f>
        <v>0</v>
      </c>
      <c r="AC20" s="17">
        <f>COUNTIFS(D2:D201,"BC",E2:E201,"G",N2:N201,"&gt;1.4")-SUM(AC4:AC19)</f>
        <v>0</v>
      </c>
      <c r="AD20" s="16">
        <f>COUNTIFS(D2:D201,"OC",E2:E201,"B",N2:N201,"&gt;1.4")-SUM(AD4:AD19)</f>
        <v>0</v>
      </c>
      <c r="AE20" s="17">
        <f>COUNTIFS(D2:D201,"OC",E2:E201,"G",N2:N201,"&gt;1.4")-SUM(AE4:AE19)</f>
        <v>0</v>
      </c>
      <c r="AF20" s="16">
        <f>COUNTIFS(D2:D201,"MUSLIM",E2:E201,"B",N2:N201,"&gt;1.9")-SUM(AF4:AF19)</f>
        <v>0</v>
      </c>
      <c r="AG20" s="17">
        <f>COUNTIFS(D2:D201,"MUSLIM",E2:E201,"G",N2:N201,"&gt;1.4")-SUM(AG4:AG19)</f>
        <v>0</v>
      </c>
      <c r="AH20" s="19">
        <f t="shared" si="1"/>
        <v>0</v>
      </c>
      <c r="AI20" s="17">
        <f t="shared" si="2"/>
        <v>0</v>
      </c>
      <c r="AJ20" s="20">
        <f t="shared" si="3"/>
        <v>0</v>
      </c>
      <c r="AM20" s="7"/>
    </row>
    <row r="21" spans="1:39" ht="31.5">
      <c r="A21" s="1">
        <v>20</v>
      </c>
      <c r="B21" s="1">
        <v>90066</v>
      </c>
      <c r="C21" s="1">
        <v>672</v>
      </c>
      <c r="D21" s="1" t="s">
        <v>15</v>
      </c>
      <c r="E21" s="1" t="s">
        <v>20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44">
        <f t="shared" si="0"/>
        <v>6</v>
      </c>
      <c r="N21" s="1"/>
      <c r="W21" s="16" t="s">
        <v>31</v>
      </c>
      <c r="X21" s="16">
        <f>COUNTIFS(D2:D201,"SC",E2:E201,"B",N2:N201,"&gt;0.9")-SUM(X4:X20)</f>
        <v>0</v>
      </c>
      <c r="Y21" s="17">
        <f>COUNTIFS(D2:D201,"SC",E2:E201,"G",N2:N201,"&gt;0.9")-SUM(Y4:Y20)</f>
        <v>0</v>
      </c>
      <c r="Z21" s="16">
        <f>COUNTIFS(D2:D201,"ST",E2:E201,"B",N2:N201,"&gt;0.9")-SUM(Z4:Z20)</f>
        <v>0</v>
      </c>
      <c r="AA21" s="17">
        <f>COUNTIFS(D2:D201,"ST",E2:E201,"G",N2:N201,"&gt;0.9")-SUM(AA4:AA20)</f>
        <v>0</v>
      </c>
      <c r="AB21" s="16">
        <f>COUNTIFS(D2:D201,"BC",E2:E201,"B",N2:N201,"&gt;0.9")-SUM(AB4:AB20)</f>
        <v>0</v>
      </c>
      <c r="AC21" s="17">
        <f>COUNTIFS(D2:D201,"BC",E2:E201,"G",N2:N201,"&gt;0.9")-SUM(AC4:AC20)</f>
        <v>0</v>
      </c>
      <c r="AD21" s="16">
        <f>COUNTIFS(D2:D201,"OC",E2:E201,"B",N2:N201,"&gt;0.9")-SUM(AD4:AD20)</f>
        <v>0</v>
      </c>
      <c r="AE21" s="17">
        <f>COUNTIFS(D2:D201,"OC",E2:E201,"G",N2:N201,"&gt;0.9")-SUM(AE4:AE20)</f>
        <v>0</v>
      </c>
      <c r="AF21" s="16">
        <f>COUNTIFS(D2:D201,"MUSLIM",E2:E201,"B",N2:N201,"&gt;1.4")-SUM(AF4:AF20)</f>
        <v>0</v>
      </c>
      <c r="AG21" s="17">
        <f>COUNTIFS(D2:D201,"MUSLIM",E2:E201,"G",N2:N201,"&gt;0.9")-SUM(AG4:AG20)</f>
        <v>0</v>
      </c>
      <c r="AH21" s="19">
        <f t="shared" si="1"/>
        <v>0</v>
      </c>
      <c r="AI21" s="17">
        <f t="shared" si="2"/>
        <v>0</v>
      </c>
      <c r="AJ21" s="20">
        <f t="shared" si="3"/>
        <v>0</v>
      </c>
      <c r="AM21" s="7"/>
    </row>
    <row r="22" spans="1:39" ht="31.5">
      <c r="A22" s="1">
        <v>21</v>
      </c>
      <c r="B22" s="1">
        <v>90066</v>
      </c>
      <c r="C22" s="1">
        <v>674</v>
      </c>
      <c r="D22" s="1" t="s">
        <v>15</v>
      </c>
      <c r="E22" s="1" t="s">
        <v>20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44">
        <f t="shared" si="0"/>
        <v>6</v>
      </c>
      <c r="N22" s="1"/>
      <c r="W22" s="16" t="s">
        <v>40</v>
      </c>
      <c r="X22" s="16">
        <f>COUNTIFS(D2:D201,"SC",E2:E201,"B",N2:N201,"&gt;0.4")-SUM(X4:X21)</f>
        <v>0</v>
      </c>
      <c r="Y22" s="17">
        <f>COUNTIFS(D2:D201,"SC",E2:E201,"G",N2:N201,"&gt;0.4")-SUM(Y4:Y21)</f>
        <v>0</v>
      </c>
      <c r="Z22" s="16">
        <f>COUNTIFS(D2:D201,"ST",E2:E201,"B",N2:N201,"&gt;0.4")-SUM(Z4:Z21)</f>
        <v>0</v>
      </c>
      <c r="AA22" s="17">
        <f>COUNTIFS(D2:D201,"ST",E2:E201,"G",N2:N201,"&gt;0.4")-SUM(AA4:AA21)</f>
        <v>0</v>
      </c>
      <c r="AB22" s="16">
        <f>COUNTIFS(D2:D201,"BC",E2:E201,"B",N2:N201,"&gt;0.4")-SUM(AB4:AB21)</f>
        <v>0</v>
      </c>
      <c r="AC22" s="17">
        <f>COUNTIFS(D2:D201,"BC",E2:E201,"G",N2:N201,"&gt;0.4")-SUM(AC4:AC21)</f>
        <v>0</v>
      </c>
      <c r="AD22" s="16">
        <f>COUNTIFS(D2:D201,"OC",E2:E201,"B",N2:N201,"&gt;0.4")-SUM(AD4:AD21)</f>
        <v>0</v>
      </c>
      <c r="AE22" s="17">
        <f>COUNTIFS(D2:D201,"OC",E2:E201,"G",N2:N201,"&gt;0.4")-SUM(AE4:AE21)</f>
        <v>0</v>
      </c>
      <c r="AF22" s="16">
        <f>COUNTIFS(D2:D201,"MUSLIM",E2:E201,"B",N2:N201,"&gt;0.9")-SUM(AF4:AF21)</f>
        <v>0</v>
      </c>
      <c r="AG22" s="17">
        <f>COUNTIFS(D2:D201,"MUSLIM",E2:E201,"G",N2:N201,"&gt;0.4")-SUM(AG4:AG21)</f>
        <v>0</v>
      </c>
      <c r="AH22" s="19">
        <f t="shared" si="1"/>
        <v>0</v>
      </c>
      <c r="AI22" s="17">
        <f t="shared" si="2"/>
        <v>0</v>
      </c>
      <c r="AJ22" s="20">
        <f t="shared" si="3"/>
        <v>0</v>
      </c>
      <c r="AM22" s="7"/>
    </row>
    <row r="23" spans="1:39" ht="31.5">
      <c r="A23" s="1">
        <v>22</v>
      </c>
      <c r="B23" s="1">
        <v>90066</v>
      </c>
      <c r="C23" s="1">
        <v>676</v>
      </c>
      <c r="D23" s="1" t="s">
        <v>15</v>
      </c>
      <c r="E23" s="1" t="s">
        <v>20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44">
        <f t="shared" si="0"/>
        <v>6</v>
      </c>
      <c r="N23" s="1"/>
      <c r="W23" s="16" t="s">
        <v>32</v>
      </c>
      <c r="X23" s="16">
        <f>COUNTIFS(D2:D201,"SC",E2:E201,"B",N2:N201,"&gt;0")-SUM(X4:X22)</f>
        <v>0</v>
      </c>
      <c r="Y23" s="17">
        <f>COUNTIFS(D2:D201,"SC",E2:E201,"G",N2:N201,"&gt;0")-SUM(Y4:Y22)</f>
        <v>0</v>
      </c>
      <c r="Z23" s="16">
        <f>COUNTIFS(D2:D201,"ST",E2:E201,"B",N2:N201,"&gt;0")-SUM(Z4:Z22)</f>
        <v>0</v>
      </c>
      <c r="AA23" s="17">
        <f>COUNTIFS(D2:D201,"ST",E2:E201,"G",N2:N201,"&gt;0")-SUM(AA4:AA22)</f>
        <v>0</v>
      </c>
      <c r="AB23" s="16">
        <f>COUNTIFS(D2:D201,"BC",E2:E201,"B",N2:N201,"&gt;0")-SUM(AB4:AB22)</f>
        <v>0</v>
      </c>
      <c r="AC23" s="17">
        <f>COUNTIFS(D2:D201,"BC",E2:E201,"G",N2:N201,"&gt;0")-SUM(AC4:AC22)</f>
        <v>0</v>
      </c>
      <c r="AD23" s="16">
        <f>COUNTIFS(D2:D201,"OC",E2:E201,"B",N2:N201,"&gt;0")-SUM(AD4:AD22)</f>
        <v>0</v>
      </c>
      <c r="AE23" s="17">
        <f>COUNTIFS(D2:D201,"OC",E2:E201,"G",N2:N201,"&gt;0")-SUM(AE4:AE22)</f>
        <v>0</v>
      </c>
      <c r="AF23" s="16">
        <f>COUNTIFS(D2:D201,"MUSLIM",E2:E201,"B",N2:N201,"&gt;0")-SUM(AF4:AF22)</f>
        <v>0</v>
      </c>
      <c r="AG23" s="17">
        <f>COUNTIFS(D2:D201,"MUSLIM",E2:E201,"G",N2:N201,"&gt;0")-SUM(AG4:AG22)</f>
        <v>0</v>
      </c>
      <c r="AH23" s="19">
        <f t="shared" si="1"/>
        <v>0</v>
      </c>
      <c r="AI23" s="17">
        <f t="shared" si="2"/>
        <v>0</v>
      </c>
      <c r="AJ23" s="20">
        <f t="shared" si="3"/>
        <v>0</v>
      </c>
      <c r="AM23" s="7"/>
    </row>
    <row r="24" spans="1:39" ht="26.25">
      <c r="A24" s="1">
        <v>23</v>
      </c>
      <c r="B24" s="1">
        <v>90066</v>
      </c>
      <c r="C24" s="1">
        <v>678</v>
      </c>
      <c r="D24" s="1" t="s">
        <v>17</v>
      </c>
      <c r="E24" s="1" t="s">
        <v>20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44">
        <f t="shared" si="0"/>
        <v>6</v>
      </c>
      <c r="N24" s="1"/>
      <c r="W24" s="16" t="s">
        <v>13</v>
      </c>
      <c r="X24" s="21">
        <f t="shared" ref="X24:AI24" si="8">SUM(X4:X23)</f>
        <v>0</v>
      </c>
      <c r="Y24" s="21">
        <f t="shared" si="8"/>
        <v>0</v>
      </c>
      <c r="Z24" s="21">
        <f t="shared" si="8"/>
        <v>0</v>
      </c>
      <c r="AA24" s="21">
        <f t="shared" si="8"/>
        <v>0</v>
      </c>
      <c r="AB24" s="21">
        <f t="shared" si="8"/>
        <v>0</v>
      </c>
      <c r="AC24" s="21">
        <f t="shared" si="8"/>
        <v>0</v>
      </c>
      <c r="AD24" s="21">
        <f t="shared" si="8"/>
        <v>0</v>
      </c>
      <c r="AE24" s="21">
        <f t="shared" si="8"/>
        <v>0</v>
      </c>
      <c r="AF24" s="21">
        <f t="shared" si="8"/>
        <v>0</v>
      </c>
      <c r="AG24" s="21">
        <f t="shared" si="8"/>
        <v>0</v>
      </c>
      <c r="AH24" s="21">
        <f t="shared" si="8"/>
        <v>0</v>
      </c>
      <c r="AI24" s="21">
        <f t="shared" si="8"/>
        <v>0</v>
      </c>
      <c r="AJ24" s="21">
        <f t="shared" ref="AJ24" si="9">SUM(AJ4:AJ23)</f>
        <v>0</v>
      </c>
      <c r="AM24" s="7"/>
    </row>
    <row r="25" spans="1:39" ht="21">
      <c r="A25" s="1">
        <v>24</v>
      </c>
      <c r="B25" s="1">
        <v>90066</v>
      </c>
      <c r="C25" s="1">
        <v>680</v>
      </c>
      <c r="D25" s="1" t="s">
        <v>17</v>
      </c>
      <c r="E25" s="1" t="s">
        <v>20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44">
        <f t="shared" si="0"/>
        <v>6</v>
      </c>
      <c r="N25" s="1"/>
      <c r="AM25" s="7"/>
    </row>
    <row r="26" spans="1:39" ht="21">
      <c r="A26" s="1">
        <v>25</v>
      </c>
      <c r="B26" s="1">
        <v>90066</v>
      </c>
      <c r="C26" s="1">
        <v>682</v>
      </c>
      <c r="D26" s="1" t="s">
        <v>15</v>
      </c>
      <c r="E26" s="1" t="s">
        <v>20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44">
        <f t="shared" si="0"/>
        <v>6</v>
      </c>
      <c r="N26" s="1"/>
      <c r="AM26" s="7"/>
    </row>
    <row r="27" spans="1:39" ht="21">
      <c r="A27" s="1">
        <v>26</v>
      </c>
      <c r="B27" s="1">
        <v>90066</v>
      </c>
      <c r="C27" s="1">
        <v>684</v>
      </c>
      <c r="D27" s="1" t="s">
        <v>15</v>
      </c>
      <c r="E27" s="1" t="s">
        <v>20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44">
        <f t="shared" si="0"/>
        <v>6</v>
      </c>
      <c r="N27" s="1"/>
    </row>
    <row r="28" spans="1:39" ht="31.5">
      <c r="A28" s="1">
        <v>27</v>
      </c>
      <c r="B28" s="1">
        <v>90066</v>
      </c>
      <c r="C28" s="1">
        <v>686</v>
      </c>
      <c r="D28" s="1" t="s">
        <v>19</v>
      </c>
      <c r="E28" s="1" t="s">
        <v>20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44">
        <f t="shared" si="0"/>
        <v>6</v>
      </c>
      <c r="N28" s="1"/>
    </row>
    <row r="29" spans="1:39" ht="31.5">
      <c r="A29" s="1">
        <v>28</v>
      </c>
      <c r="B29" s="1">
        <v>90066</v>
      </c>
      <c r="C29" s="1">
        <v>688</v>
      </c>
      <c r="D29" s="1" t="s">
        <v>19</v>
      </c>
      <c r="E29" s="1" t="s">
        <v>20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44">
        <f t="shared" si="0"/>
        <v>6</v>
      </c>
      <c r="N29" s="1"/>
    </row>
    <row r="30" spans="1:39" ht="21">
      <c r="A30" s="1">
        <v>29</v>
      </c>
      <c r="B30" s="1">
        <v>90066</v>
      </c>
      <c r="C30" s="1">
        <v>690</v>
      </c>
      <c r="D30" s="1" t="s">
        <v>15</v>
      </c>
      <c r="E30" s="1" t="s">
        <v>20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44">
        <f t="shared" si="0"/>
        <v>6</v>
      </c>
      <c r="N30" s="1"/>
    </row>
    <row r="31" spans="1:39" ht="21">
      <c r="A31" s="1">
        <v>30</v>
      </c>
      <c r="B31" s="1">
        <v>90066</v>
      </c>
      <c r="C31" s="1">
        <v>692</v>
      </c>
      <c r="D31" s="1" t="s">
        <v>15</v>
      </c>
      <c r="E31" s="1" t="s">
        <v>20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44">
        <f t="shared" si="0"/>
        <v>6</v>
      </c>
      <c r="N31" s="1"/>
    </row>
    <row r="32" spans="1:39" ht="31.5">
      <c r="A32" s="1">
        <v>31</v>
      </c>
      <c r="B32" s="1">
        <v>90066</v>
      </c>
      <c r="C32" s="1">
        <v>694</v>
      </c>
      <c r="D32" s="1" t="s">
        <v>19</v>
      </c>
      <c r="E32" s="1" t="s">
        <v>20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44">
        <f t="shared" si="0"/>
        <v>6</v>
      </c>
      <c r="N32" s="1"/>
    </row>
    <row r="33" spans="1:14" ht="21">
      <c r="A33" s="1">
        <v>32</v>
      </c>
      <c r="B33" s="1">
        <v>90066</v>
      </c>
      <c r="C33" s="1">
        <v>696</v>
      </c>
      <c r="D33" s="1" t="s">
        <v>17</v>
      </c>
      <c r="E33" s="1" t="s">
        <v>20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44">
        <f t="shared" si="0"/>
        <v>6</v>
      </c>
      <c r="N33" s="1"/>
    </row>
    <row r="34" spans="1:14" ht="31.5">
      <c r="A34" s="1">
        <v>33</v>
      </c>
      <c r="B34" s="1">
        <v>90066</v>
      </c>
      <c r="C34" s="1">
        <v>698</v>
      </c>
      <c r="D34" s="1" t="s">
        <v>19</v>
      </c>
      <c r="E34" s="1" t="s">
        <v>20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44">
        <f t="shared" si="0"/>
        <v>6</v>
      </c>
      <c r="N34" s="1"/>
    </row>
    <row r="35" spans="1:14" ht="21">
      <c r="A35" s="1">
        <v>34</v>
      </c>
      <c r="B35" s="1">
        <v>90066</v>
      </c>
      <c r="C35" s="1">
        <v>700</v>
      </c>
      <c r="D35" s="1" t="s">
        <v>15</v>
      </c>
      <c r="E35" s="1" t="s">
        <v>20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44">
        <f t="shared" si="0"/>
        <v>6</v>
      </c>
      <c r="N35" s="1"/>
    </row>
    <row r="36" spans="1:14" ht="21">
      <c r="A36" s="1">
        <v>35</v>
      </c>
      <c r="B36" s="1">
        <v>90066</v>
      </c>
      <c r="C36" s="1">
        <v>702</v>
      </c>
      <c r="D36" s="1" t="s">
        <v>15</v>
      </c>
      <c r="E36" s="1" t="s">
        <v>20</v>
      </c>
      <c r="F36" s="1">
        <v>1</v>
      </c>
      <c r="G36" s="1">
        <v>1</v>
      </c>
      <c r="H36" s="1">
        <v>1</v>
      </c>
      <c r="I36" s="1">
        <v>1</v>
      </c>
      <c r="J36" s="1">
        <v>1</v>
      </c>
      <c r="K36" s="1">
        <v>1</v>
      </c>
      <c r="L36" s="44">
        <f t="shared" si="0"/>
        <v>6</v>
      </c>
      <c r="N36" s="1"/>
    </row>
    <row r="37" spans="1:14" ht="21">
      <c r="A37" s="1">
        <v>36</v>
      </c>
      <c r="B37" s="1">
        <v>90066</v>
      </c>
      <c r="C37" s="1">
        <v>704</v>
      </c>
      <c r="D37" s="1" t="s">
        <v>15</v>
      </c>
      <c r="E37" s="1" t="s">
        <v>20</v>
      </c>
      <c r="F37" s="1">
        <v>1</v>
      </c>
      <c r="G37" s="1">
        <v>1</v>
      </c>
      <c r="H37" s="1">
        <v>1</v>
      </c>
      <c r="I37" s="1">
        <v>1</v>
      </c>
      <c r="J37" s="1">
        <v>1</v>
      </c>
      <c r="K37" s="1">
        <v>1</v>
      </c>
      <c r="L37" s="44">
        <f t="shared" si="0"/>
        <v>6</v>
      </c>
      <c r="N37" s="1"/>
    </row>
    <row r="38" spans="1:14" ht="21">
      <c r="A38" s="1">
        <v>37</v>
      </c>
      <c r="B38" s="1">
        <v>90066</v>
      </c>
      <c r="C38" s="1">
        <v>706</v>
      </c>
      <c r="D38" s="1" t="s">
        <v>17</v>
      </c>
      <c r="E38" s="1" t="s">
        <v>20</v>
      </c>
      <c r="F38" s="1">
        <v>1</v>
      </c>
      <c r="G38" s="1">
        <v>1</v>
      </c>
      <c r="H38" s="1">
        <v>1</v>
      </c>
      <c r="I38" s="1">
        <v>1</v>
      </c>
      <c r="J38" s="1">
        <v>1</v>
      </c>
      <c r="K38" s="1">
        <v>1</v>
      </c>
      <c r="L38" s="44">
        <f t="shared" si="0"/>
        <v>6</v>
      </c>
      <c r="N38" s="1"/>
    </row>
    <row r="39" spans="1:14" ht="21">
      <c r="A39" s="1">
        <v>38</v>
      </c>
      <c r="B39" s="1">
        <v>90066</v>
      </c>
      <c r="C39" s="1">
        <v>708</v>
      </c>
      <c r="D39" s="1" t="s">
        <v>17</v>
      </c>
      <c r="E39" s="1" t="s">
        <v>8</v>
      </c>
      <c r="F39" s="1">
        <v>1</v>
      </c>
      <c r="G39" s="1">
        <v>1</v>
      </c>
      <c r="H39" s="1">
        <v>1</v>
      </c>
      <c r="I39" s="1">
        <v>1</v>
      </c>
      <c r="J39" s="1">
        <v>1</v>
      </c>
      <c r="K39" s="1">
        <v>1</v>
      </c>
      <c r="L39" s="44">
        <f t="shared" si="0"/>
        <v>6</v>
      </c>
      <c r="N39" s="1"/>
    </row>
    <row r="40" spans="1:14" ht="21">
      <c r="A40" s="1">
        <v>39</v>
      </c>
      <c r="B40" s="1">
        <v>90066</v>
      </c>
      <c r="C40" s="1">
        <v>710</v>
      </c>
      <c r="D40" s="1" t="s">
        <v>17</v>
      </c>
      <c r="E40" s="1" t="s">
        <v>8</v>
      </c>
      <c r="F40" s="1">
        <v>1</v>
      </c>
      <c r="G40" s="1">
        <v>1</v>
      </c>
      <c r="H40" s="1">
        <v>1</v>
      </c>
      <c r="I40" s="1">
        <v>1</v>
      </c>
      <c r="J40" s="1">
        <v>1</v>
      </c>
      <c r="K40" s="1">
        <v>1</v>
      </c>
      <c r="L40" s="44">
        <f t="shared" si="0"/>
        <v>6</v>
      </c>
      <c r="N40" s="1"/>
    </row>
    <row r="41" spans="1:14" ht="21">
      <c r="A41" s="1">
        <v>40</v>
      </c>
      <c r="B41" s="1">
        <v>90066</v>
      </c>
      <c r="C41" s="1">
        <v>712</v>
      </c>
      <c r="D41" s="1" t="s">
        <v>17</v>
      </c>
      <c r="E41" s="1" t="s">
        <v>8</v>
      </c>
      <c r="F41" s="1">
        <v>1</v>
      </c>
      <c r="G41" s="1">
        <v>1</v>
      </c>
      <c r="H41" s="1">
        <v>1</v>
      </c>
      <c r="I41" s="1">
        <v>1</v>
      </c>
      <c r="J41" s="1">
        <v>1</v>
      </c>
      <c r="K41" s="1">
        <v>1</v>
      </c>
      <c r="L41" s="44">
        <f t="shared" si="0"/>
        <v>6</v>
      </c>
      <c r="N41" s="1"/>
    </row>
    <row r="42" spans="1:14" ht="21">
      <c r="A42" s="1">
        <v>41</v>
      </c>
      <c r="B42" s="1">
        <v>90066</v>
      </c>
      <c r="C42" s="1">
        <v>714</v>
      </c>
      <c r="D42" s="1" t="s">
        <v>18</v>
      </c>
      <c r="E42" s="1" t="s">
        <v>8</v>
      </c>
      <c r="F42" s="1">
        <v>1</v>
      </c>
      <c r="G42" s="1">
        <v>1</v>
      </c>
      <c r="H42" s="1">
        <v>1</v>
      </c>
      <c r="I42" s="1">
        <v>1</v>
      </c>
      <c r="J42" s="1">
        <v>1</v>
      </c>
      <c r="K42" s="1">
        <v>1</v>
      </c>
      <c r="L42" s="44">
        <f t="shared" si="0"/>
        <v>6</v>
      </c>
      <c r="N42" s="1"/>
    </row>
    <row r="43" spans="1:14" ht="21">
      <c r="A43" s="1">
        <v>42</v>
      </c>
      <c r="B43" s="1">
        <v>90066</v>
      </c>
      <c r="C43" s="1">
        <v>716</v>
      </c>
      <c r="D43" s="1" t="s">
        <v>17</v>
      </c>
      <c r="E43" s="1" t="s">
        <v>8</v>
      </c>
      <c r="F43" s="1">
        <v>1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44">
        <f t="shared" si="0"/>
        <v>6</v>
      </c>
      <c r="N43" s="1"/>
    </row>
    <row r="44" spans="1:14" ht="31.5">
      <c r="A44" s="1">
        <v>43</v>
      </c>
      <c r="B44" s="1">
        <v>90066</v>
      </c>
      <c r="C44" s="1">
        <v>718</v>
      </c>
      <c r="D44" s="1" t="s">
        <v>19</v>
      </c>
      <c r="E44" s="1" t="s">
        <v>8</v>
      </c>
      <c r="F44" s="1">
        <v>1</v>
      </c>
      <c r="G44" s="1">
        <v>1</v>
      </c>
      <c r="H44" s="1">
        <v>1</v>
      </c>
      <c r="I44" s="1">
        <v>1</v>
      </c>
      <c r="J44" s="1">
        <v>1</v>
      </c>
      <c r="K44" s="1">
        <v>1</v>
      </c>
      <c r="L44" s="44">
        <f t="shared" si="0"/>
        <v>6</v>
      </c>
      <c r="N44" s="1"/>
    </row>
    <row r="45" spans="1:14" ht="21">
      <c r="A45" s="1">
        <v>44</v>
      </c>
      <c r="B45" s="1">
        <v>90066</v>
      </c>
      <c r="C45" s="1">
        <v>720</v>
      </c>
      <c r="D45" s="1" t="s">
        <v>17</v>
      </c>
      <c r="E45" s="1" t="s">
        <v>8</v>
      </c>
      <c r="F45" s="1">
        <v>1</v>
      </c>
      <c r="G45" s="1">
        <v>1</v>
      </c>
      <c r="H45" s="1">
        <v>1</v>
      </c>
      <c r="I45" s="1">
        <v>1</v>
      </c>
      <c r="J45" s="1">
        <v>1</v>
      </c>
      <c r="K45" s="1">
        <v>1</v>
      </c>
      <c r="L45" s="44">
        <f t="shared" si="0"/>
        <v>6</v>
      </c>
      <c r="N45" s="1"/>
    </row>
    <row r="46" spans="1:14" ht="21">
      <c r="A46" s="1">
        <v>45</v>
      </c>
      <c r="B46" s="1">
        <v>90066</v>
      </c>
      <c r="C46" s="1">
        <v>722</v>
      </c>
      <c r="D46" s="1" t="s">
        <v>15</v>
      </c>
      <c r="E46" s="1" t="s">
        <v>8</v>
      </c>
      <c r="F46" s="1">
        <v>1</v>
      </c>
      <c r="G46" s="1">
        <v>1</v>
      </c>
      <c r="H46" s="1">
        <v>1</v>
      </c>
      <c r="I46" s="1">
        <v>1</v>
      </c>
      <c r="J46" s="1">
        <v>1</v>
      </c>
      <c r="K46" s="1">
        <v>1</v>
      </c>
      <c r="L46" s="44">
        <f t="shared" si="0"/>
        <v>6</v>
      </c>
      <c r="N46" s="1"/>
    </row>
    <row r="47" spans="1:14" ht="31.5">
      <c r="A47" s="1">
        <v>46</v>
      </c>
      <c r="B47" s="1">
        <v>90066</v>
      </c>
      <c r="C47" s="1">
        <v>724</v>
      </c>
      <c r="D47" s="1" t="s">
        <v>19</v>
      </c>
      <c r="E47" s="1" t="s">
        <v>20</v>
      </c>
      <c r="F47" s="1">
        <v>1</v>
      </c>
      <c r="G47" s="1">
        <v>1</v>
      </c>
      <c r="H47" s="1">
        <v>1</v>
      </c>
      <c r="I47" s="1">
        <v>1</v>
      </c>
      <c r="J47" s="1">
        <v>1</v>
      </c>
      <c r="K47" s="1">
        <v>1</v>
      </c>
      <c r="L47" s="44">
        <f t="shared" si="0"/>
        <v>6</v>
      </c>
      <c r="N47" s="1"/>
    </row>
    <row r="48" spans="1:14" ht="21">
      <c r="A48" s="1">
        <v>47</v>
      </c>
      <c r="B48" s="1">
        <v>90066</v>
      </c>
      <c r="C48" s="1">
        <v>726</v>
      </c>
      <c r="D48" s="1" t="s">
        <v>15</v>
      </c>
      <c r="E48" s="1" t="s">
        <v>20</v>
      </c>
      <c r="F48" s="1">
        <v>1</v>
      </c>
      <c r="G48" s="1">
        <v>1</v>
      </c>
      <c r="H48" s="1">
        <v>1</v>
      </c>
      <c r="I48" s="1">
        <v>1</v>
      </c>
      <c r="J48" s="1">
        <v>1</v>
      </c>
      <c r="K48" s="1">
        <v>1</v>
      </c>
      <c r="L48" s="44">
        <f t="shared" si="0"/>
        <v>6</v>
      </c>
      <c r="N48" s="1"/>
    </row>
    <row r="49" spans="1:14" ht="31.5">
      <c r="A49" s="1">
        <v>48</v>
      </c>
      <c r="B49" s="1">
        <v>90066</v>
      </c>
      <c r="C49" s="1">
        <v>728</v>
      </c>
      <c r="D49" s="1" t="s">
        <v>19</v>
      </c>
      <c r="E49" s="1" t="s">
        <v>20</v>
      </c>
      <c r="F49" s="1">
        <v>1</v>
      </c>
      <c r="G49" s="1">
        <v>1</v>
      </c>
      <c r="H49" s="1">
        <v>1</v>
      </c>
      <c r="I49" s="1">
        <v>1</v>
      </c>
      <c r="J49" s="1">
        <v>1</v>
      </c>
      <c r="K49" s="1">
        <v>1</v>
      </c>
      <c r="L49" s="44">
        <f t="shared" si="0"/>
        <v>6</v>
      </c>
      <c r="N49" s="1"/>
    </row>
    <row r="50" spans="1:14" ht="21">
      <c r="A50" s="1">
        <v>49</v>
      </c>
      <c r="B50" s="1">
        <v>90066</v>
      </c>
      <c r="C50" s="1">
        <v>730</v>
      </c>
      <c r="D50" s="1" t="s">
        <v>15</v>
      </c>
      <c r="E50" s="1" t="s">
        <v>20</v>
      </c>
      <c r="F50" s="1">
        <v>1</v>
      </c>
      <c r="G50" s="1">
        <v>1</v>
      </c>
      <c r="H50" s="1">
        <v>1</v>
      </c>
      <c r="I50" s="1">
        <v>1</v>
      </c>
      <c r="J50" s="1">
        <v>1</v>
      </c>
      <c r="K50" s="1">
        <v>1</v>
      </c>
      <c r="L50" s="44">
        <f t="shared" si="0"/>
        <v>6</v>
      </c>
      <c r="N50" s="1"/>
    </row>
    <row r="51" spans="1:14" ht="21">
      <c r="A51" s="1">
        <v>50</v>
      </c>
      <c r="B51" s="1">
        <v>90066</v>
      </c>
      <c r="C51" s="1">
        <v>732</v>
      </c>
      <c r="D51" s="1" t="s">
        <v>17</v>
      </c>
      <c r="E51" s="1" t="s">
        <v>20</v>
      </c>
      <c r="F51" s="1">
        <v>1</v>
      </c>
      <c r="G51" s="1">
        <v>1</v>
      </c>
      <c r="H51" s="1">
        <v>1</v>
      </c>
      <c r="I51" s="1">
        <v>1</v>
      </c>
      <c r="J51" s="1">
        <v>1</v>
      </c>
      <c r="K51" s="1">
        <v>1</v>
      </c>
      <c r="L51" s="44">
        <f t="shared" si="0"/>
        <v>6</v>
      </c>
      <c r="N51" s="1"/>
    </row>
    <row r="52" spans="1:14" ht="21">
      <c r="A52" s="1">
        <v>51</v>
      </c>
      <c r="B52" s="1">
        <v>90066</v>
      </c>
      <c r="C52" s="1">
        <v>734</v>
      </c>
      <c r="D52" s="1" t="s">
        <v>15</v>
      </c>
      <c r="E52" s="1" t="s">
        <v>20</v>
      </c>
      <c r="F52" s="1">
        <v>1</v>
      </c>
      <c r="G52" s="1">
        <v>1</v>
      </c>
      <c r="H52" s="1">
        <v>1</v>
      </c>
      <c r="I52" s="1">
        <v>1</v>
      </c>
      <c r="J52" s="1">
        <v>1</v>
      </c>
      <c r="K52" s="1">
        <v>1</v>
      </c>
      <c r="L52" s="44">
        <f t="shared" si="0"/>
        <v>6</v>
      </c>
      <c r="N52" s="1"/>
    </row>
    <row r="53" spans="1:14" ht="21">
      <c r="A53" s="1">
        <v>52</v>
      </c>
      <c r="B53" s="1">
        <v>90066</v>
      </c>
      <c r="C53" s="1">
        <v>736</v>
      </c>
      <c r="D53" s="1" t="s">
        <v>17</v>
      </c>
      <c r="E53" s="1" t="s">
        <v>20</v>
      </c>
      <c r="F53" s="1">
        <v>1</v>
      </c>
      <c r="G53" s="1">
        <v>1</v>
      </c>
      <c r="H53" s="1">
        <v>1</v>
      </c>
      <c r="I53" s="1">
        <v>1</v>
      </c>
      <c r="J53" s="1">
        <v>1</v>
      </c>
      <c r="K53" s="1">
        <v>1</v>
      </c>
      <c r="L53" s="44">
        <f t="shared" si="0"/>
        <v>6</v>
      </c>
      <c r="N53" s="1"/>
    </row>
    <row r="54" spans="1:14" ht="21">
      <c r="A54" s="1">
        <v>53</v>
      </c>
      <c r="B54" s="1">
        <v>90066</v>
      </c>
      <c r="C54" s="1">
        <v>738</v>
      </c>
      <c r="D54" s="1" t="s">
        <v>17</v>
      </c>
      <c r="E54" s="1" t="s">
        <v>20</v>
      </c>
      <c r="F54" s="1">
        <v>1</v>
      </c>
      <c r="G54" s="1">
        <v>1</v>
      </c>
      <c r="H54" s="1">
        <v>1</v>
      </c>
      <c r="I54" s="1">
        <v>1</v>
      </c>
      <c r="J54" s="1">
        <v>1</v>
      </c>
      <c r="K54" s="1">
        <v>1</v>
      </c>
      <c r="L54" s="44">
        <f t="shared" si="0"/>
        <v>6</v>
      </c>
      <c r="N54" s="1"/>
    </row>
    <row r="55" spans="1:14" ht="21">
      <c r="A55" s="1">
        <v>54</v>
      </c>
      <c r="L55" s="44">
        <f t="shared" si="0"/>
        <v>0</v>
      </c>
      <c r="N55" s="1"/>
    </row>
    <row r="56" spans="1:14" ht="21">
      <c r="A56" s="1">
        <v>55</v>
      </c>
      <c r="L56" s="44">
        <f t="shared" si="0"/>
        <v>0</v>
      </c>
      <c r="N56" s="1"/>
    </row>
    <row r="57" spans="1:14" ht="21">
      <c r="A57" s="1">
        <v>56</v>
      </c>
      <c r="L57" s="44">
        <f t="shared" si="0"/>
        <v>0</v>
      </c>
      <c r="N57" s="1"/>
    </row>
    <row r="58" spans="1:14" ht="21">
      <c r="A58" s="1">
        <v>57</v>
      </c>
      <c r="L58" s="44">
        <f t="shared" si="0"/>
        <v>0</v>
      </c>
      <c r="N58" s="1"/>
    </row>
    <row r="59" spans="1:14" ht="21">
      <c r="A59" s="1">
        <v>58</v>
      </c>
      <c r="L59" s="44">
        <f t="shared" si="0"/>
        <v>0</v>
      </c>
      <c r="N59" s="1"/>
    </row>
    <row r="60" spans="1:14" ht="21">
      <c r="A60" s="1">
        <v>59</v>
      </c>
      <c r="L60" s="44">
        <f t="shared" si="0"/>
        <v>0</v>
      </c>
      <c r="N60" s="1"/>
    </row>
    <row r="61" spans="1:14" ht="21">
      <c r="A61" s="1">
        <v>60</v>
      </c>
      <c r="L61" s="44">
        <f t="shared" si="0"/>
        <v>0</v>
      </c>
      <c r="N61" s="1"/>
    </row>
    <row r="62" spans="1:14" ht="21">
      <c r="A62" s="1">
        <v>61</v>
      </c>
      <c r="L62" s="44">
        <f t="shared" si="0"/>
        <v>0</v>
      </c>
      <c r="N62" s="1"/>
    </row>
    <row r="63" spans="1:14" ht="21">
      <c r="A63" s="1">
        <v>62</v>
      </c>
      <c r="L63" s="44">
        <f t="shared" si="0"/>
        <v>0</v>
      </c>
      <c r="N63" s="1"/>
    </row>
    <row r="64" spans="1:14" ht="21">
      <c r="A64" s="1">
        <v>63</v>
      </c>
      <c r="L64" s="44">
        <f t="shared" si="0"/>
        <v>0</v>
      </c>
      <c r="N64" s="1"/>
    </row>
    <row r="65" spans="1:14" ht="21">
      <c r="A65" s="1">
        <v>64</v>
      </c>
      <c r="L65" s="44">
        <f t="shared" si="0"/>
        <v>0</v>
      </c>
      <c r="N65" s="1"/>
    </row>
    <row r="66" spans="1:14" ht="21">
      <c r="A66" s="1">
        <v>65</v>
      </c>
      <c r="L66" s="44">
        <f t="shared" si="0"/>
        <v>0</v>
      </c>
      <c r="N66" s="1"/>
    </row>
    <row r="67" spans="1:14" ht="21">
      <c r="A67" s="1">
        <v>66</v>
      </c>
      <c r="L67" s="44">
        <f t="shared" ref="L67:L130" si="10">COUNTA(F67:K67)</f>
        <v>0</v>
      </c>
      <c r="N67" s="1"/>
    </row>
    <row r="68" spans="1:14" ht="21">
      <c r="A68" s="1">
        <v>67</v>
      </c>
      <c r="L68" s="44">
        <f t="shared" si="10"/>
        <v>0</v>
      </c>
      <c r="N68" s="1"/>
    </row>
    <row r="69" spans="1:14" ht="21">
      <c r="A69" s="1">
        <v>68</v>
      </c>
      <c r="L69" s="44">
        <f t="shared" si="10"/>
        <v>0</v>
      </c>
      <c r="N69" s="1"/>
    </row>
    <row r="70" spans="1:14" ht="21">
      <c r="A70" s="1">
        <v>69</v>
      </c>
      <c r="L70" s="44">
        <f t="shared" si="10"/>
        <v>0</v>
      </c>
      <c r="N70" s="1"/>
    </row>
    <row r="71" spans="1:14" ht="21">
      <c r="A71" s="1">
        <v>70</v>
      </c>
      <c r="L71" s="44">
        <f t="shared" si="10"/>
        <v>0</v>
      </c>
      <c r="N71" s="1"/>
    </row>
    <row r="72" spans="1:14" ht="21">
      <c r="A72" s="1">
        <v>71</v>
      </c>
      <c r="L72" s="44">
        <f t="shared" si="10"/>
        <v>0</v>
      </c>
      <c r="N72" s="1"/>
    </row>
    <row r="73" spans="1:14" ht="21">
      <c r="A73" s="1">
        <v>72</v>
      </c>
      <c r="L73" s="44">
        <f t="shared" si="10"/>
        <v>0</v>
      </c>
      <c r="N73" s="1"/>
    </row>
    <row r="74" spans="1:14" ht="21">
      <c r="A74" s="1">
        <v>73</v>
      </c>
      <c r="L74" s="44">
        <f t="shared" si="10"/>
        <v>0</v>
      </c>
      <c r="N74" s="1"/>
    </row>
    <row r="75" spans="1:14" ht="21">
      <c r="A75" s="1">
        <v>74</v>
      </c>
      <c r="L75" s="44">
        <f t="shared" si="10"/>
        <v>0</v>
      </c>
      <c r="N75" s="1"/>
    </row>
    <row r="76" spans="1:14" ht="21">
      <c r="A76" s="1">
        <v>75</v>
      </c>
      <c r="L76" s="44">
        <f t="shared" si="10"/>
        <v>0</v>
      </c>
      <c r="N76" s="1"/>
    </row>
    <row r="77" spans="1:14" ht="21">
      <c r="A77" s="1">
        <v>76</v>
      </c>
      <c r="L77" s="44">
        <f t="shared" si="10"/>
        <v>0</v>
      </c>
      <c r="N77" s="1"/>
    </row>
    <row r="78" spans="1:14" ht="21">
      <c r="A78" s="1">
        <v>77</v>
      </c>
      <c r="L78" s="44">
        <f t="shared" si="10"/>
        <v>0</v>
      </c>
      <c r="N78" s="1"/>
    </row>
    <row r="79" spans="1:14" ht="21">
      <c r="A79" s="1">
        <v>78</v>
      </c>
      <c r="L79" s="44">
        <f t="shared" si="10"/>
        <v>0</v>
      </c>
      <c r="N79" s="1"/>
    </row>
    <row r="80" spans="1:14" ht="21">
      <c r="A80" s="1">
        <v>79</v>
      </c>
      <c r="L80" s="44">
        <f t="shared" si="10"/>
        <v>0</v>
      </c>
      <c r="N80" s="1"/>
    </row>
    <row r="81" spans="1:14" ht="21">
      <c r="A81" s="1">
        <v>80</v>
      </c>
      <c r="L81" s="44">
        <f t="shared" si="10"/>
        <v>0</v>
      </c>
      <c r="N81" s="1"/>
    </row>
    <row r="82" spans="1:14" ht="21">
      <c r="A82" s="1">
        <v>81</v>
      </c>
      <c r="L82" s="44">
        <f t="shared" si="10"/>
        <v>0</v>
      </c>
      <c r="N82" s="1"/>
    </row>
    <row r="83" spans="1:14" ht="21">
      <c r="A83" s="1">
        <v>82</v>
      </c>
      <c r="L83" s="44">
        <f t="shared" si="10"/>
        <v>0</v>
      </c>
      <c r="N83" s="1"/>
    </row>
    <row r="84" spans="1:14" ht="21">
      <c r="A84" s="1">
        <v>83</v>
      </c>
      <c r="L84" s="44">
        <f t="shared" si="10"/>
        <v>0</v>
      </c>
      <c r="N84" s="1"/>
    </row>
    <row r="85" spans="1:14" ht="21">
      <c r="A85" s="1">
        <v>84</v>
      </c>
      <c r="L85" s="44">
        <f t="shared" si="10"/>
        <v>0</v>
      </c>
      <c r="N85" s="1"/>
    </row>
    <row r="86" spans="1:14" ht="21">
      <c r="A86" s="1">
        <v>85</v>
      </c>
      <c r="L86" s="44">
        <f t="shared" si="10"/>
        <v>0</v>
      </c>
      <c r="N86" s="1"/>
    </row>
    <row r="87" spans="1:14" ht="21">
      <c r="A87" s="1">
        <v>86</v>
      </c>
      <c r="L87" s="44">
        <f t="shared" si="10"/>
        <v>0</v>
      </c>
      <c r="N87" s="1"/>
    </row>
    <row r="88" spans="1:14" ht="21">
      <c r="A88" s="1">
        <v>87</v>
      </c>
      <c r="L88" s="44">
        <f t="shared" si="10"/>
        <v>0</v>
      </c>
      <c r="N88" s="1"/>
    </row>
    <row r="89" spans="1:14" ht="21">
      <c r="A89" s="1">
        <v>88</v>
      </c>
      <c r="L89" s="44">
        <f t="shared" si="10"/>
        <v>0</v>
      </c>
      <c r="N89" s="1"/>
    </row>
    <row r="90" spans="1:14" ht="21">
      <c r="A90" s="1">
        <v>89</v>
      </c>
      <c r="L90" s="44">
        <f t="shared" si="10"/>
        <v>0</v>
      </c>
      <c r="N90" s="1"/>
    </row>
    <row r="91" spans="1:14" ht="21">
      <c r="A91" s="1">
        <v>90</v>
      </c>
      <c r="L91" s="44">
        <f t="shared" si="10"/>
        <v>0</v>
      </c>
      <c r="N91" s="1"/>
    </row>
    <row r="92" spans="1:14" ht="21">
      <c r="A92" s="1">
        <v>91</v>
      </c>
      <c r="L92" s="44">
        <f t="shared" si="10"/>
        <v>0</v>
      </c>
      <c r="N92" s="1"/>
    </row>
    <row r="93" spans="1:14" ht="21">
      <c r="A93" s="1">
        <v>92</v>
      </c>
      <c r="L93" s="44">
        <f t="shared" si="10"/>
        <v>0</v>
      </c>
      <c r="N93" s="1"/>
    </row>
    <row r="94" spans="1:14" ht="21">
      <c r="A94" s="1">
        <v>93</v>
      </c>
      <c r="L94" s="44">
        <f t="shared" si="10"/>
        <v>0</v>
      </c>
      <c r="N94" s="1"/>
    </row>
    <row r="95" spans="1:14" ht="21">
      <c r="A95" s="1">
        <v>94</v>
      </c>
      <c r="L95" s="44">
        <f t="shared" si="10"/>
        <v>0</v>
      </c>
      <c r="N95" s="1"/>
    </row>
    <row r="96" spans="1:14" ht="21">
      <c r="A96" s="1">
        <v>95</v>
      </c>
      <c r="L96" s="44">
        <f t="shared" si="10"/>
        <v>0</v>
      </c>
      <c r="N96" s="1"/>
    </row>
    <row r="97" spans="1:14" ht="21">
      <c r="A97" s="1">
        <v>96</v>
      </c>
      <c r="L97" s="44">
        <f t="shared" si="10"/>
        <v>0</v>
      </c>
      <c r="N97" s="1"/>
    </row>
    <row r="98" spans="1:14" ht="21">
      <c r="A98" s="1">
        <v>97</v>
      </c>
      <c r="L98" s="44">
        <f t="shared" si="10"/>
        <v>0</v>
      </c>
      <c r="N98" s="1"/>
    </row>
    <row r="99" spans="1:14" ht="21">
      <c r="A99" s="1">
        <v>98</v>
      </c>
      <c r="L99" s="44">
        <f t="shared" si="10"/>
        <v>0</v>
      </c>
      <c r="N99" s="1"/>
    </row>
    <row r="100" spans="1:14" ht="21">
      <c r="A100" s="1">
        <v>99</v>
      </c>
      <c r="L100" s="44">
        <f t="shared" si="10"/>
        <v>0</v>
      </c>
      <c r="N100" s="1"/>
    </row>
    <row r="101" spans="1:14" ht="21">
      <c r="A101" s="1">
        <v>100</v>
      </c>
      <c r="L101" s="44">
        <f t="shared" si="10"/>
        <v>0</v>
      </c>
      <c r="N101" s="1"/>
    </row>
    <row r="102" spans="1:14" ht="21">
      <c r="A102" s="1">
        <v>101</v>
      </c>
      <c r="L102" s="44">
        <f t="shared" si="10"/>
        <v>0</v>
      </c>
      <c r="N102" s="1"/>
    </row>
    <row r="103" spans="1:14" ht="21">
      <c r="A103" s="1">
        <v>102</v>
      </c>
      <c r="L103" s="44">
        <f t="shared" si="10"/>
        <v>0</v>
      </c>
      <c r="N103" s="1"/>
    </row>
    <row r="104" spans="1:14" ht="21">
      <c r="A104" s="1">
        <v>103</v>
      </c>
      <c r="L104" s="44">
        <f t="shared" si="10"/>
        <v>0</v>
      </c>
      <c r="N104" s="1"/>
    </row>
    <row r="105" spans="1:14" ht="21">
      <c r="A105" s="1">
        <v>104</v>
      </c>
      <c r="L105" s="44">
        <f t="shared" si="10"/>
        <v>0</v>
      </c>
      <c r="N105" s="1"/>
    </row>
    <row r="106" spans="1:14" ht="21">
      <c r="A106" s="1">
        <v>105</v>
      </c>
      <c r="L106" s="44">
        <f t="shared" si="10"/>
        <v>0</v>
      </c>
      <c r="N106" s="1"/>
    </row>
    <row r="107" spans="1:14" ht="21">
      <c r="A107" s="1">
        <v>106</v>
      </c>
      <c r="L107" s="44">
        <f t="shared" si="10"/>
        <v>0</v>
      </c>
      <c r="N107" s="1"/>
    </row>
    <row r="108" spans="1:14" ht="21">
      <c r="A108" s="1">
        <v>107</v>
      </c>
      <c r="L108" s="44">
        <f t="shared" si="10"/>
        <v>0</v>
      </c>
      <c r="N108" s="1"/>
    </row>
    <row r="109" spans="1:14" ht="21">
      <c r="A109" s="1">
        <v>108</v>
      </c>
      <c r="L109" s="44">
        <f t="shared" si="10"/>
        <v>0</v>
      </c>
      <c r="N109" s="1"/>
    </row>
    <row r="110" spans="1:14" ht="21">
      <c r="A110" s="1">
        <v>109</v>
      </c>
      <c r="L110" s="44">
        <f t="shared" si="10"/>
        <v>0</v>
      </c>
      <c r="N110" s="1"/>
    </row>
    <row r="111" spans="1:14" ht="21">
      <c r="A111" s="1">
        <v>110</v>
      </c>
      <c r="L111" s="44">
        <f t="shared" si="10"/>
        <v>0</v>
      </c>
      <c r="N111" s="1"/>
    </row>
    <row r="112" spans="1:14" ht="21">
      <c r="A112" s="1">
        <v>111</v>
      </c>
      <c r="L112" s="44">
        <f t="shared" si="10"/>
        <v>0</v>
      </c>
      <c r="N112" s="1"/>
    </row>
    <row r="113" spans="1:14" ht="21">
      <c r="A113" s="1">
        <v>112</v>
      </c>
      <c r="L113" s="44">
        <f t="shared" si="10"/>
        <v>0</v>
      </c>
      <c r="N113" s="1"/>
    </row>
    <row r="114" spans="1:14" ht="21">
      <c r="A114" s="1">
        <v>113</v>
      </c>
      <c r="L114" s="44">
        <f t="shared" si="10"/>
        <v>0</v>
      </c>
      <c r="N114" s="1"/>
    </row>
    <row r="115" spans="1:14" ht="21">
      <c r="A115" s="1">
        <v>114</v>
      </c>
      <c r="L115" s="44">
        <f t="shared" si="10"/>
        <v>0</v>
      </c>
      <c r="N115" s="1"/>
    </row>
    <row r="116" spans="1:14" ht="21">
      <c r="A116" s="1">
        <v>115</v>
      </c>
      <c r="L116" s="44">
        <f t="shared" si="10"/>
        <v>0</v>
      </c>
      <c r="N116" s="1"/>
    </row>
    <row r="117" spans="1:14" ht="21">
      <c r="A117" s="1">
        <v>116</v>
      </c>
      <c r="L117" s="44">
        <f t="shared" si="10"/>
        <v>0</v>
      </c>
      <c r="N117" s="1"/>
    </row>
    <row r="118" spans="1:14" ht="21">
      <c r="A118" s="1">
        <v>117</v>
      </c>
      <c r="L118" s="44">
        <f t="shared" si="10"/>
        <v>0</v>
      </c>
      <c r="N118" s="1"/>
    </row>
    <row r="119" spans="1:14" ht="21">
      <c r="A119" s="1">
        <v>118</v>
      </c>
      <c r="L119" s="44">
        <f t="shared" si="10"/>
        <v>0</v>
      </c>
      <c r="N119" s="1"/>
    </row>
    <row r="120" spans="1:14" ht="21">
      <c r="A120" s="1">
        <v>119</v>
      </c>
      <c r="L120" s="44">
        <f t="shared" si="10"/>
        <v>0</v>
      </c>
      <c r="N120" s="1"/>
    </row>
    <row r="121" spans="1:14" ht="21">
      <c r="A121" s="1">
        <v>120</v>
      </c>
      <c r="L121" s="44">
        <f t="shared" si="10"/>
        <v>0</v>
      </c>
      <c r="N121" s="1"/>
    </row>
    <row r="122" spans="1:14" ht="21">
      <c r="A122" s="1">
        <v>121</v>
      </c>
      <c r="L122" s="44">
        <f t="shared" si="10"/>
        <v>0</v>
      </c>
      <c r="N122" s="1"/>
    </row>
    <row r="123" spans="1:14" ht="21">
      <c r="A123" s="1">
        <v>122</v>
      </c>
      <c r="L123" s="44">
        <f t="shared" si="10"/>
        <v>0</v>
      </c>
      <c r="N123" s="1"/>
    </row>
    <row r="124" spans="1:14" ht="21">
      <c r="A124" s="1">
        <v>123</v>
      </c>
      <c r="L124" s="44">
        <f t="shared" si="10"/>
        <v>0</v>
      </c>
      <c r="N124" s="1"/>
    </row>
    <row r="125" spans="1:14" ht="21">
      <c r="A125" s="1">
        <v>124</v>
      </c>
      <c r="L125" s="44">
        <f t="shared" si="10"/>
        <v>0</v>
      </c>
      <c r="N125" s="1"/>
    </row>
    <row r="126" spans="1:14" ht="21">
      <c r="A126" s="1">
        <v>125</v>
      </c>
      <c r="L126" s="44">
        <f t="shared" si="10"/>
        <v>0</v>
      </c>
      <c r="N126" s="1"/>
    </row>
    <row r="127" spans="1:14" ht="21">
      <c r="A127" s="1">
        <v>126</v>
      </c>
      <c r="L127" s="44">
        <f t="shared" si="10"/>
        <v>0</v>
      </c>
      <c r="N127" s="1"/>
    </row>
    <row r="128" spans="1:14" ht="21">
      <c r="A128" s="1">
        <v>127</v>
      </c>
      <c r="L128" s="44">
        <f t="shared" si="10"/>
        <v>0</v>
      </c>
      <c r="N128" s="1"/>
    </row>
    <row r="129" spans="1:14" ht="21">
      <c r="A129" s="1">
        <v>128</v>
      </c>
      <c r="L129" s="44">
        <f t="shared" si="10"/>
        <v>0</v>
      </c>
      <c r="N129" s="1"/>
    </row>
    <row r="130" spans="1:14" ht="21">
      <c r="A130" s="1">
        <v>129</v>
      </c>
      <c r="L130" s="44">
        <f t="shared" si="10"/>
        <v>0</v>
      </c>
      <c r="N130" s="1"/>
    </row>
    <row r="131" spans="1:14" ht="21">
      <c r="A131" s="1">
        <v>130</v>
      </c>
      <c r="L131" s="44">
        <f t="shared" ref="L131:L194" si="11">COUNTA(F131:K131)</f>
        <v>0</v>
      </c>
      <c r="N131" s="1"/>
    </row>
    <row r="132" spans="1:14" ht="21">
      <c r="A132" s="1">
        <v>131</v>
      </c>
      <c r="L132" s="44">
        <f t="shared" si="11"/>
        <v>0</v>
      </c>
      <c r="N132" s="1"/>
    </row>
    <row r="133" spans="1:14" ht="21">
      <c r="A133" s="1">
        <v>132</v>
      </c>
      <c r="L133" s="44">
        <f t="shared" si="11"/>
        <v>0</v>
      </c>
      <c r="N133" s="1"/>
    </row>
    <row r="134" spans="1:14" ht="21">
      <c r="A134" s="1">
        <v>133</v>
      </c>
      <c r="L134" s="44">
        <f t="shared" si="11"/>
        <v>0</v>
      </c>
      <c r="N134" s="1"/>
    </row>
    <row r="135" spans="1:14" ht="21">
      <c r="A135" s="1">
        <v>134</v>
      </c>
      <c r="L135" s="44">
        <f t="shared" si="11"/>
        <v>0</v>
      </c>
      <c r="N135" s="1"/>
    </row>
    <row r="136" spans="1:14" ht="21">
      <c r="A136" s="1">
        <v>135</v>
      </c>
      <c r="L136" s="44">
        <f t="shared" si="11"/>
        <v>0</v>
      </c>
      <c r="N136" s="1"/>
    </row>
    <row r="137" spans="1:14" ht="21">
      <c r="A137" s="1">
        <v>136</v>
      </c>
      <c r="L137" s="44">
        <f t="shared" si="11"/>
        <v>0</v>
      </c>
      <c r="N137" s="1"/>
    </row>
    <row r="138" spans="1:14" ht="21">
      <c r="A138" s="1">
        <v>137</v>
      </c>
      <c r="L138" s="44">
        <f t="shared" si="11"/>
        <v>0</v>
      </c>
      <c r="N138" s="1"/>
    </row>
    <row r="139" spans="1:14" ht="21">
      <c r="A139" s="1">
        <v>138</v>
      </c>
      <c r="L139" s="44">
        <f t="shared" si="11"/>
        <v>0</v>
      </c>
      <c r="N139" s="1"/>
    </row>
    <row r="140" spans="1:14" ht="21">
      <c r="A140" s="1">
        <v>139</v>
      </c>
      <c r="L140" s="44">
        <f t="shared" si="11"/>
        <v>0</v>
      </c>
      <c r="N140" s="1"/>
    </row>
    <row r="141" spans="1:14" ht="21">
      <c r="A141" s="1">
        <v>140</v>
      </c>
      <c r="L141" s="44">
        <f t="shared" si="11"/>
        <v>0</v>
      </c>
      <c r="N141" s="1"/>
    </row>
    <row r="142" spans="1:14" ht="21">
      <c r="A142" s="1">
        <v>141</v>
      </c>
      <c r="L142" s="44">
        <f t="shared" si="11"/>
        <v>0</v>
      </c>
      <c r="N142" s="1"/>
    </row>
    <row r="143" spans="1:14" ht="21">
      <c r="A143" s="1">
        <v>142</v>
      </c>
      <c r="L143" s="44">
        <f t="shared" si="11"/>
        <v>0</v>
      </c>
      <c r="N143" s="1"/>
    </row>
    <row r="144" spans="1:14" ht="21">
      <c r="A144" s="1">
        <v>143</v>
      </c>
      <c r="L144" s="44">
        <f t="shared" si="11"/>
        <v>0</v>
      </c>
      <c r="N144" s="1"/>
    </row>
    <row r="145" spans="1:14" ht="21">
      <c r="A145" s="1">
        <v>144</v>
      </c>
      <c r="L145" s="44">
        <f t="shared" si="11"/>
        <v>0</v>
      </c>
      <c r="N145" s="1"/>
    </row>
    <row r="146" spans="1:14" ht="21">
      <c r="A146" s="1">
        <v>145</v>
      </c>
      <c r="L146" s="44">
        <f t="shared" si="11"/>
        <v>0</v>
      </c>
      <c r="N146" s="1"/>
    </row>
    <row r="147" spans="1:14" ht="21">
      <c r="A147" s="1">
        <v>146</v>
      </c>
      <c r="L147" s="44">
        <f t="shared" si="11"/>
        <v>0</v>
      </c>
      <c r="N147" s="1"/>
    </row>
    <row r="148" spans="1:14" ht="21">
      <c r="A148" s="1">
        <v>147</v>
      </c>
      <c r="L148" s="44">
        <f t="shared" si="11"/>
        <v>0</v>
      </c>
      <c r="N148" s="1"/>
    </row>
    <row r="149" spans="1:14" ht="21">
      <c r="A149" s="1">
        <v>148</v>
      </c>
      <c r="L149" s="44">
        <f t="shared" si="11"/>
        <v>0</v>
      </c>
      <c r="N149" s="1"/>
    </row>
    <row r="150" spans="1:14" ht="21">
      <c r="A150" s="1">
        <v>149</v>
      </c>
      <c r="L150" s="44">
        <f t="shared" si="11"/>
        <v>0</v>
      </c>
      <c r="N150" s="1"/>
    </row>
    <row r="151" spans="1:14" ht="21">
      <c r="A151" s="1">
        <v>150</v>
      </c>
      <c r="L151" s="44">
        <f t="shared" si="11"/>
        <v>0</v>
      </c>
      <c r="N151" s="1"/>
    </row>
    <row r="152" spans="1:14" ht="21">
      <c r="A152" s="1">
        <v>151</v>
      </c>
      <c r="L152" s="44">
        <f t="shared" si="11"/>
        <v>0</v>
      </c>
      <c r="N152" s="1"/>
    </row>
    <row r="153" spans="1:14" ht="21">
      <c r="A153" s="1">
        <v>152</v>
      </c>
      <c r="L153" s="44">
        <f t="shared" si="11"/>
        <v>0</v>
      </c>
      <c r="N153" s="1"/>
    </row>
    <row r="154" spans="1:14" ht="21">
      <c r="A154" s="1">
        <v>153</v>
      </c>
      <c r="L154" s="44">
        <f t="shared" si="11"/>
        <v>0</v>
      </c>
      <c r="N154" s="1"/>
    </row>
    <row r="155" spans="1:14" ht="21">
      <c r="A155" s="1">
        <v>154</v>
      </c>
      <c r="L155" s="44">
        <f t="shared" si="11"/>
        <v>0</v>
      </c>
      <c r="N155" s="1"/>
    </row>
    <row r="156" spans="1:14" ht="21">
      <c r="A156" s="1">
        <v>155</v>
      </c>
      <c r="L156" s="44">
        <f t="shared" si="11"/>
        <v>0</v>
      </c>
      <c r="N156" s="1"/>
    </row>
    <row r="157" spans="1:14" ht="21">
      <c r="A157" s="1">
        <v>156</v>
      </c>
      <c r="L157" s="44">
        <f t="shared" si="11"/>
        <v>0</v>
      </c>
      <c r="N157" s="1"/>
    </row>
    <row r="158" spans="1:14" ht="21">
      <c r="A158" s="1">
        <v>157</v>
      </c>
      <c r="L158" s="44">
        <f t="shared" si="11"/>
        <v>0</v>
      </c>
      <c r="N158" s="1"/>
    </row>
    <row r="159" spans="1:14" ht="21">
      <c r="A159" s="1">
        <v>158</v>
      </c>
      <c r="L159" s="44">
        <f t="shared" si="11"/>
        <v>0</v>
      </c>
      <c r="N159" s="1"/>
    </row>
    <row r="160" spans="1:14" ht="21">
      <c r="A160" s="1">
        <v>159</v>
      </c>
      <c r="L160" s="44">
        <f t="shared" si="11"/>
        <v>0</v>
      </c>
      <c r="N160" s="1"/>
    </row>
    <row r="161" spans="1:14" ht="21">
      <c r="A161" s="1">
        <v>160</v>
      </c>
      <c r="L161" s="44">
        <f t="shared" si="11"/>
        <v>0</v>
      </c>
      <c r="N161" s="1"/>
    </row>
    <row r="162" spans="1:14" ht="21">
      <c r="A162" s="1">
        <v>161</v>
      </c>
      <c r="L162" s="44">
        <f t="shared" si="11"/>
        <v>0</v>
      </c>
      <c r="N162" s="1"/>
    </row>
    <row r="163" spans="1:14" ht="21">
      <c r="A163" s="1">
        <v>162</v>
      </c>
      <c r="L163" s="44">
        <f t="shared" si="11"/>
        <v>0</v>
      </c>
      <c r="N163" s="1"/>
    </row>
    <row r="164" spans="1:14" ht="21">
      <c r="A164" s="1">
        <v>163</v>
      </c>
      <c r="L164" s="44">
        <f t="shared" si="11"/>
        <v>0</v>
      </c>
      <c r="N164" s="1"/>
    </row>
    <row r="165" spans="1:14" ht="21">
      <c r="A165" s="1">
        <v>164</v>
      </c>
      <c r="L165" s="44">
        <f t="shared" si="11"/>
        <v>0</v>
      </c>
      <c r="N165" s="1"/>
    </row>
    <row r="166" spans="1:14" ht="21">
      <c r="A166" s="1">
        <v>165</v>
      </c>
      <c r="L166" s="44">
        <f t="shared" si="11"/>
        <v>0</v>
      </c>
      <c r="N166" s="1"/>
    </row>
    <row r="167" spans="1:14" ht="21">
      <c r="A167" s="1">
        <v>166</v>
      </c>
      <c r="L167" s="44">
        <f t="shared" si="11"/>
        <v>0</v>
      </c>
      <c r="N167" s="1"/>
    </row>
    <row r="168" spans="1:14" ht="21">
      <c r="A168" s="1">
        <v>167</v>
      </c>
      <c r="L168" s="44">
        <f t="shared" si="11"/>
        <v>0</v>
      </c>
      <c r="N168" s="1"/>
    </row>
    <row r="169" spans="1:14" ht="21">
      <c r="A169" s="1">
        <v>168</v>
      </c>
      <c r="L169" s="44">
        <f t="shared" si="11"/>
        <v>0</v>
      </c>
      <c r="N169" s="1"/>
    </row>
    <row r="170" spans="1:14" ht="21">
      <c r="A170" s="1">
        <v>169</v>
      </c>
      <c r="L170" s="44">
        <f t="shared" si="11"/>
        <v>0</v>
      </c>
      <c r="N170" s="1"/>
    </row>
    <row r="171" spans="1:14" ht="21">
      <c r="A171" s="1">
        <v>170</v>
      </c>
      <c r="L171" s="44">
        <f t="shared" si="11"/>
        <v>0</v>
      </c>
      <c r="N171" s="1"/>
    </row>
    <row r="172" spans="1:14" ht="21">
      <c r="A172" s="1">
        <v>171</v>
      </c>
      <c r="L172" s="44">
        <f t="shared" si="11"/>
        <v>0</v>
      </c>
      <c r="N172" s="1"/>
    </row>
    <row r="173" spans="1:14" ht="21">
      <c r="A173" s="1">
        <v>172</v>
      </c>
      <c r="L173" s="44">
        <f t="shared" si="11"/>
        <v>0</v>
      </c>
      <c r="N173" s="1"/>
    </row>
    <row r="174" spans="1:14" ht="21">
      <c r="A174" s="1">
        <v>173</v>
      </c>
      <c r="L174" s="44">
        <f t="shared" si="11"/>
        <v>0</v>
      </c>
      <c r="N174" s="1"/>
    </row>
    <row r="175" spans="1:14" ht="21">
      <c r="A175" s="1">
        <v>174</v>
      </c>
      <c r="L175" s="44">
        <f t="shared" si="11"/>
        <v>0</v>
      </c>
      <c r="N175" s="1"/>
    </row>
    <row r="176" spans="1:14" ht="21">
      <c r="A176" s="1">
        <v>175</v>
      </c>
      <c r="L176" s="44">
        <f t="shared" si="11"/>
        <v>0</v>
      </c>
      <c r="N176" s="1"/>
    </row>
    <row r="177" spans="1:14" ht="21">
      <c r="A177" s="1">
        <v>176</v>
      </c>
      <c r="L177" s="44">
        <f t="shared" si="11"/>
        <v>0</v>
      </c>
      <c r="N177" s="1"/>
    </row>
    <row r="178" spans="1:14" ht="21">
      <c r="A178" s="1">
        <v>177</v>
      </c>
      <c r="L178" s="44">
        <f t="shared" si="11"/>
        <v>0</v>
      </c>
      <c r="N178" s="1"/>
    </row>
    <row r="179" spans="1:14" ht="21">
      <c r="A179" s="1">
        <v>178</v>
      </c>
      <c r="L179" s="44">
        <f t="shared" si="11"/>
        <v>0</v>
      </c>
      <c r="N179" s="1"/>
    </row>
    <row r="180" spans="1:14" ht="21">
      <c r="A180" s="1">
        <v>179</v>
      </c>
      <c r="L180" s="44">
        <f t="shared" si="11"/>
        <v>0</v>
      </c>
      <c r="N180" s="1"/>
    </row>
    <row r="181" spans="1:14" ht="21">
      <c r="A181" s="1">
        <v>180</v>
      </c>
      <c r="L181" s="44">
        <f t="shared" si="11"/>
        <v>0</v>
      </c>
      <c r="N181" s="1"/>
    </row>
    <row r="182" spans="1:14" ht="21">
      <c r="A182" s="1">
        <v>181</v>
      </c>
      <c r="L182" s="44">
        <f t="shared" si="11"/>
        <v>0</v>
      </c>
      <c r="N182" s="1"/>
    </row>
    <row r="183" spans="1:14" ht="21">
      <c r="A183" s="1">
        <v>182</v>
      </c>
      <c r="L183" s="44">
        <f t="shared" si="11"/>
        <v>0</v>
      </c>
      <c r="N183" s="1"/>
    </row>
    <row r="184" spans="1:14" ht="21">
      <c r="A184" s="1">
        <v>183</v>
      </c>
      <c r="L184" s="44">
        <f t="shared" si="11"/>
        <v>0</v>
      </c>
      <c r="N184" s="1"/>
    </row>
    <row r="185" spans="1:14" ht="21">
      <c r="A185" s="1">
        <v>184</v>
      </c>
      <c r="L185" s="44">
        <f t="shared" si="11"/>
        <v>0</v>
      </c>
      <c r="N185" s="1"/>
    </row>
    <row r="186" spans="1:14" ht="21">
      <c r="A186" s="1">
        <v>185</v>
      </c>
      <c r="L186" s="44">
        <f t="shared" si="11"/>
        <v>0</v>
      </c>
      <c r="N186" s="1"/>
    </row>
    <row r="187" spans="1:14" ht="21">
      <c r="A187" s="1">
        <v>186</v>
      </c>
      <c r="L187" s="44">
        <f t="shared" si="11"/>
        <v>0</v>
      </c>
      <c r="N187" s="1"/>
    </row>
    <row r="188" spans="1:14" ht="21">
      <c r="A188" s="1">
        <v>187</v>
      </c>
      <c r="L188" s="44">
        <f t="shared" si="11"/>
        <v>0</v>
      </c>
      <c r="N188" s="1"/>
    </row>
    <row r="189" spans="1:14" ht="21">
      <c r="A189" s="1">
        <v>188</v>
      </c>
      <c r="L189" s="44">
        <f t="shared" si="11"/>
        <v>0</v>
      </c>
      <c r="N189" s="1"/>
    </row>
    <row r="190" spans="1:14" ht="21">
      <c r="A190" s="1">
        <v>189</v>
      </c>
      <c r="L190" s="44">
        <f t="shared" si="11"/>
        <v>0</v>
      </c>
      <c r="N190" s="1"/>
    </row>
    <row r="191" spans="1:14" ht="21">
      <c r="A191" s="1">
        <v>190</v>
      </c>
      <c r="L191" s="44">
        <f t="shared" si="11"/>
        <v>0</v>
      </c>
      <c r="N191" s="1"/>
    </row>
    <row r="192" spans="1:14" ht="21">
      <c r="A192" s="1">
        <v>191</v>
      </c>
      <c r="L192" s="44">
        <f t="shared" si="11"/>
        <v>0</v>
      </c>
      <c r="N192" s="1"/>
    </row>
    <row r="193" spans="1:14" ht="21">
      <c r="A193" s="1">
        <v>192</v>
      </c>
      <c r="L193" s="44">
        <f t="shared" si="11"/>
        <v>0</v>
      </c>
      <c r="N193" s="1"/>
    </row>
    <row r="194" spans="1:14" ht="21">
      <c r="A194" s="1">
        <v>193</v>
      </c>
      <c r="L194" s="44">
        <f t="shared" si="11"/>
        <v>0</v>
      </c>
      <c r="N194" s="1"/>
    </row>
    <row r="195" spans="1:14" ht="21">
      <c r="A195" s="1">
        <v>194</v>
      </c>
      <c r="L195" s="44">
        <f t="shared" ref="L195:L201" si="12">COUNTA(F195:K195)</f>
        <v>0</v>
      </c>
      <c r="N195" s="1"/>
    </row>
    <row r="196" spans="1:14" ht="21">
      <c r="A196" s="1">
        <v>195</v>
      </c>
      <c r="L196" s="44">
        <f t="shared" si="12"/>
        <v>0</v>
      </c>
      <c r="N196" s="1"/>
    </row>
    <row r="197" spans="1:14" ht="21">
      <c r="A197" s="1">
        <v>196</v>
      </c>
      <c r="L197" s="44">
        <f t="shared" si="12"/>
        <v>0</v>
      </c>
      <c r="N197" s="1"/>
    </row>
    <row r="198" spans="1:14" ht="21">
      <c r="A198" s="1">
        <v>197</v>
      </c>
      <c r="L198" s="44">
        <f t="shared" si="12"/>
        <v>0</v>
      </c>
      <c r="N198" s="1"/>
    </row>
    <row r="199" spans="1:14" ht="21">
      <c r="A199" s="1">
        <v>198</v>
      </c>
      <c r="L199" s="44">
        <f t="shared" si="12"/>
        <v>0</v>
      </c>
      <c r="N199" s="1"/>
    </row>
    <row r="200" spans="1:14" ht="21">
      <c r="A200" s="1">
        <v>199</v>
      </c>
      <c r="L200" s="44">
        <f t="shared" si="12"/>
        <v>0</v>
      </c>
      <c r="N200" s="1"/>
    </row>
    <row r="201" spans="1:14" ht="21">
      <c r="A201" s="1">
        <v>200</v>
      </c>
      <c r="L201" s="44">
        <f t="shared" si="12"/>
        <v>0</v>
      </c>
      <c r="N201" s="1"/>
    </row>
    <row r="202" spans="1:14">
      <c r="A202" s="3"/>
      <c r="C202" s="3"/>
      <c r="D202" s="3"/>
      <c r="E202" s="3"/>
      <c r="M202" s="3"/>
      <c r="N202" s="3"/>
    </row>
    <row r="203" spans="1:14">
      <c r="A203" s="3"/>
      <c r="B203" s="1" t="s">
        <v>76</v>
      </c>
      <c r="C203" s="3" t="s">
        <v>77</v>
      </c>
      <c r="D203" s="3"/>
      <c r="E203" s="3"/>
      <c r="F203" s="1" t="s">
        <v>69</v>
      </c>
      <c r="G203" s="1" t="s">
        <v>70</v>
      </c>
      <c r="H203" s="1" t="s">
        <v>71</v>
      </c>
      <c r="I203" s="1" t="s">
        <v>72</v>
      </c>
      <c r="J203" s="1" t="s">
        <v>73</v>
      </c>
      <c r="K203" s="1" t="s">
        <v>74</v>
      </c>
      <c r="M203" s="3"/>
      <c r="N203" s="3"/>
    </row>
    <row r="204" spans="1:14" ht="31.5">
      <c r="A204" s="3"/>
      <c r="B204" s="3"/>
      <c r="C204" s="3"/>
      <c r="D204" s="3"/>
      <c r="E204" s="3"/>
      <c r="F204" s="45">
        <f>COUNTA(F2:F201)</f>
        <v>53</v>
      </c>
      <c r="G204" s="45">
        <f t="shared" ref="G204:K204" si="13">COUNTA(G2:G201)</f>
        <v>53</v>
      </c>
      <c r="H204" s="45">
        <f t="shared" si="13"/>
        <v>53</v>
      </c>
      <c r="I204" s="45">
        <f t="shared" si="13"/>
        <v>53</v>
      </c>
      <c r="J204" s="45">
        <f t="shared" si="13"/>
        <v>53</v>
      </c>
      <c r="K204" s="45">
        <f t="shared" si="13"/>
        <v>53</v>
      </c>
      <c r="M204" s="3"/>
      <c r="N204" s="3"/>
    </row>
    <row r="205" spans="1:14">
      <c r="A205" s="3"/>
      <c r="B205" s="3" t="s">
        <v>54</v>
      </c>
      <c r="C205" s="3"/>
      <c r="D205" s="3"/>
      <c r="E205" s="3"/>
      <c r="F205" s="1">
        <f>C208-F204</f>
        <v>0</v>
      </c>
      <c r="M205" s="3"/>
      <c r="N205" s="3"/>
    </row>
    <row r="206" spans="1:14" ht="30">
      <c r="A206" s="3"/>
      <c r="B206" s="3" t="s">
        <v>87</v>
      </c>
      <c r="C206" s="3"/>
      <c r="D206" s="3"/>
      <c r="E206" s="3"/>
      <c r="F206" s="46">
        <f>F205/C208</f>
        <v>0</v>
      </c>
      <c r="G206" s="46">
        <f>G205/C208</f>
        <v>0</v>
      </c>
      <c r="H206" s="46">
        <f>H205/C208</f>
        <v>0</v>
      </c>
      <c r="I206" s="46">
        <f>I205/C208</f>
        <v>0</v>
      </c>
      <c r="J206" s="46">
        <f>J205/C208</f>
        <v>0</v>
      </c>
      <c r="K206" s="46">
        <f>K205/C208</f>
        <v>0</v>
      </c>
      <c r="M206" s="3"/>
      <c r="N206" s="3"/>
    </row>
    <row r="207" spans="1:14">
      <c r="A207" s="3"/>
      <c r="B207" s="3"/>
      <c r="C207" s="3"/>
      <c r="D207" s="3"/>
      <c r="E207" s="3"/>
      <c r="H207" s="1" t="s">
        <v>54</v>
      </c>
      <c r="L207" s="1">
        <f>COUNTIF(L2:L201,"&gt;5")</f>
        <v>53</v>
      </c>
      <c r="M207" s="3"/>
      <c r="N207" s="3"/>
    </row>
    <row r="208" spans="1:14" ht="45">
      <c r="A208" s="3"/>
      <c r="B208" s="3" t="s">
        <v>53</v>
      </c>
      <c r="C208" s="3">
        <f>COUNTA(C2:C201)</f>
        <v>53</v>
      </c>
      <c r="D208" s="3"/>
      <c r="E208" s="3"/>
      <c r="H208" s="1" t="s">
        <v>87</v>
      </c>
      <c r="L208" s="46">
        <f>L207/C208</f>
        <v>1</v>
      </c>
      <c r="M208" s="3"/>
      <c r="N208" s="3"/>
    </row>
    <row r="209" spans="1:16">
      <c r="A209" s="3"/>
      <c r="B209" s="3"/>
      <c r="C209" s="3"/>
      <c r="D209" s="3"/>
      <c r="E209" s="3"/>
      <c r="F209" s="1" t="s">
        <v>78</v>
      </c>
      <c r="G209" s="1" t="s">
        <v>79</v>
      </c>
      <c r="H209" s="1" t="s">
        <v>80</v>
      </c>
      <c r="L209" s="1">
        <f>COUNTIF(L2:L201,1)</f>
        <v>0</v>
      </c>
      <c r="M209" s="3"/>
      <c r="N209" s="3"/>
      <c r="P209" s="1">
        <f>SUM(P187:P207)</f>
        <v>0</v>
      </c>
    </row>
    <row r="210" spans="1:16">
      <c r="A210" s="3"/>
      <c r="B210" s="3"/>
      <c r="C210" s="3"/>
      <c r="D210" s="3"/>
      <c r="E210" s="3"/>
      <c r="F210" s="1" t="s">
        <v>81</v>
      </c>
      <c r="G210" s="1" t="s">
        <v>82</v>
      </c>
      <c r="H210" s="1" t="s">
        <v>80</v>
      </c>
      <c r="L210" s="1">
        <f>COUNTIF(L2:L201,2)</f>
        <v>0</v>
      </c>
      <c r="M210" s="3"/>
      <c r="N210" s="3"/>
    </row>
    <row r="211" spans="1:16">
      <c r="F211" s="1" t="s">
        <v>83</v>
      </c>
      <c r="G211" s="1" t="s">
        <v>82</v>
      </c>
      <c r="H211" s="1" t="s">
        <v>80</v>
      </c>
      <c r="L211" s="1">
        <f>COUNTIF(L2:L201,3)</f>
        <v>0</v>
      </c>
      <c r="N211" s="1"/>
    </row>
    <row r="212" spans="1:16">
      <c r="F212" s="1" t="s">
        <v>84</v>
      </c>
      <c r="G212" s="1" t="s">
        <v>82</v>
      </c>
      <c r="H212" s="1" t="s">
        <v>80</v>
      </c>
      <c r="L212" s="1">
        <f>COUNTIF(L2:L201,4)</f>
        <v>0</v>
      </c>
      <c r="N212" s="1"/>
    </row>
    <row r="213" spans="1:16">
      <c r="F213" s="1" t="s">
        <v>85</v>
      </c>
      <c r="G213" s="1" t="s">
        <v>82</v>
      </c>
      <c r="H213" s="1" t="s">
        <v>80</v>
      </c>
      <c r="L213" s="1">
        <f>COUNTIF(L2:L201,5)</f>
        <v>0</v>
      </c>
      <c r="N213" s="1"/>
    </row>
    <row r="214" spans="1:16">
      <c r="F214" s="1" t="s">
        <v>86</v>
      </c>
      <c r="G214" s="1" t="s">
        <v>82</v>
      </c>
      <c r="H214" s="1" t="s">
        <v>80</v>
      </c>
      <c r="L214" s="1">
        <f>COUNTIF(L2:L201,6)</f>
        <v>53</v>
      </c>
      <c r="N214" s="1"/>
    </row>
    <row r="215" spans="1:16">
      <c r="L215" s="1">
        <f>SUM(L209:L214)</f>
        <v>53</v>
      </c>
      <c r="N215" s="1"/>
    </row>
    <row r="216" spans="1:16">
      <c r="N216" s="1"/>
    </row>
    <row r="217" spans="1:16">
      <c r="N217" s="1"/>
    </row>
    <row r="218" spans="1:16">
      <c r="N218" s="1"/>
    </row>
    <row r="219" spans="1:16">
      <c r="N219" s="1"/>
    </row>
    <row r="220" spans="1:16">
      <c r="N220" s="1"/>
    </row>
    <row r="221" spans="1:16">
      <c r="N221" s="1"/>
    </row>
    <row r="222" spans="1:16">
      <c r="N222" s="1"/>
    </row>
    <row r="223" spans="1:16">
      <c r="N223" s="3"/>
    </row>
    <row r="224" spans="1:16">
      <c r="N224" s="3"/>
    </row>
    <row r="225" spans="14:14">
      <c r="N225" s="3"/>
    </row>
  </sheetData>
  <mergeCells count="18">
    <mergeCell ref="AM1:AX1"/>
    <mergeCell ref="AM2:AM3"/>
    <mergeCell ref="AX2:AY3"/>
    <mergeCell ref="BO1:BO2"/>
    <mergeCell ref="AN2:AO2"/>
    <mergeCell ref="AZ2:AZ3"/>
    <mergeCell ref="AV2:AW2"/>
    <mergeCell ref="AT2:AU2"/>
    <mergeCell ref="AR2:AS2"/>
    <mergeCell ref="AP2:AQ2"/>
    <mergeCell ref="W2:W3"/>
    <mergeCell ref="AJ2:AJ3"/>
    <mergeCell ref="AH2:AI2"/>
    <mergeCell ref="AF2:AG2"/>
    <mergeCell ref="AD2:AE2"/>
    <mergeCell ref="AB2:AC2"/>
    <mergeCell ref="Z2:AA2"/>
    <mergeCell ref="X2:Y2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B13" sqref="B13"/>
    </sheetView>
  </sheetViews>
  <sheetFormatPr defaultRowHeight="15"/>
  <cols>
    <col min="1" max="1" width="20.140625" style="6" bestFit="1" customWidth="1"/>
    <col min="2" max="16384" width="9.140625" style="6"/>
  </cols>
  <sheetData>
    <row r="1" spans="1:14" ht="26.25">
      <c r="A1" s="48" t="s">
        <v>42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26.25">
      <c r="A2" s="48" t="s">
        <v>43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26.25">
      <c r="A3" s="48" t="s">
        <v>44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26.25">
      <c r="A4" s="48" t="s">
        <v>45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ht="26.25" customHeight="1">
      <c r="A5" s="53" t="str">
        <f>RESULT!W2</f>
        <v>G.P.A.</v>
      </c>
      <c r="B5" s="49" t="str">
        <f>RESULT!X2</f>
        <v>SC</v>
      </c>
      <c r="C5" s="49"/>
      <c r="D5" s="49" t="str">
        <f>RESULT!Z2</f>
        <v>ST</v>
      </c>
      <c r="E5" s="49"/>
      <c r="F5" s="49" t="str">
        <f>RESULT!AB2</f>
        <v>BC</v>
      </c>
      <c r="G5" s="49"/>
      <c r="H5" s="49" t="str">
        <f>RESULT!AD2</f>
        <v>OC</v>
      </c>
      <c r="I5" s="49"/>
      <c r="J5" s="49" t="str">
        <f>RESULT!AF2</f>
        <v>MUSLIM</v>
      </c>
      <c r="K5" s="49"/>
      <c r="L5" s="49" t="str">
        <f>RESULT!AH2</f>
        <v>TOTAL</v>
      </c>
      <c r="M5" s="49"/>
      <c r="N5" s="52" t="str">
        <f>RESULT!AJ2</f>
        <v>GRAND TOTAL</v>
      </c>
    </row>
    <row r="6" spans="1:14" ht="26.25" customHeight="1">
      <c r="A6" s="53"/>
      <c r="B6" s="22" t="str">
        <f>RESULT!X3</f>
        <v>B</v>
      </c>
      <c r="C6" s="23" t="str">
        <f>RESULT!Y3</f>
        <v>G</v>
      </c>
      <c r="D6" s="22" t="str">
        <f>RESULT!Z3</f>
        <v>B</v>
      </c>
      <c r="E6" s="23" t="str">
        <f>RESULT!AA3</f>
        <v>G</v>
      </c>
      <c r="F6" s="22" t="str">
        <f>RESULT!AB3</f>
        <v>B</v>
      </c>
      <c r="G6" s="23" t="str">
        <f>RESULT!AC3</f>
        <v>G</v>
      </c>
      <c r="H6" s="22" t="str">
        <f>RESULT!AD3</f>
        <v>B</v>
      </c>
      <c r="I6" s="23" t="str">
        <f>RESULT!AE3</f>
        <v>G</v>
      </c>
      <c r="J6" s="22" t="str">
        <f>RESULT!AF3</f>
        <v>B</v>
      </c>
      <c r="K6" s="23" t="str">
        <f>RESULT!AG3</f>
        <v>G</v>
      </c>
      <c r="L6" s="22" t="str">
        <f>RESULT!AH3</f>
        <v>B</v>
      </c>
      <c r="M6" s="23" t="str">
        <f>RESULT!AI3</f>
        <v>G</v>
      </c>
      <c r="N6" s="52"/>
    </row>
    <row r="7" spans="1:14">
      <c r="A7" s="24" t="str">
        <f>RESULT!W4</f>
        <v>ABOVE 9.5</v>
      </c>
      <c r="B7" s="14">
        <f>RESULT!X4</f>
        <v>0</v>
      </c>
      <c r="C7" s="15">
        <f>RESULT!Y4</f>
        <v>0</v>
      </c>
      <c r="D7" s="14">
        <f>RESULT!Z4</f>
        <v>0</v>
      </c>
      <c r="E7" s="15">
        <f>RESULT!AA4</f>
        <v>0</v>
      </c>
      <c r="F7" s="14">
        <f>RESULT!AB4</f>
        <v>0</v>
      </c>
      <c r="G7" s="15">
        <f>RESULT!AC4</f>
        <v>0</v>
      </c>
      <c r="H7" s="14">
        <f>RESULT!AD4</f>
        <v>0</v>
      </c>
      <c r="I7" s="15">
        <f>RESULT!AE4</f>
        <v>0</v>
      </c>
      <c r="J7" s="14">
        <f>RESULT!AF4</f>
        <v>0</v>
      </c>
      <c r="K7" s="15">
        <f>RESULT!AG4</f>
        <v>0</v>
      </c>
      <c r="L7" s="14">
        <f>RESULT!AH4</f>
        <v>0</v>
      </c>
      <c r="M7" s="15">
        <f>RESULT!AI4</f>
        <v>0</v>
      </c>
      <c r="N7" s="14">
        <f>RESULT!AJ4</f>
        <v>0</v>
      </c>
    </row>
    <row r="8" spans="1:14" ht="30">
      <c r="A8" s="24" t="str">
        <f>RESULT!W5</f>
        <v>BETWEEN 9.0 AND 9.5</v>
      </c>
      <c r="B8" s="14">
        <f>RESULT!X5</f>
        <v>0</v>
      </c>
      <c r="C8" s="15">
        <f>RESULT!Y5</f>
        <v>0</v>
      </c>
      <c r="D8" s="14">
        <f>RESULT!Z5</f>
        <v>0</v>
      </c>
      <c r="E8" s="15">
        <f>RESULT!AA5</f>
        <v>0</v>
      </c>
      <c r="F8" s="14">
        <f>RESULT!AB5</f>
        <v>0</v>
      </c>
      <c r="G8" s="15">
        <f>RESULT!AC5</f>
        <v>0</v>
      </c>
      <c r="H8" s="14">
        <f>RESULT!AD5</f>
        <v>0</v>
      </c>
      <c r="I8" s="15">
        <f>RESULT!AE5</f>
        <v>0</v>
      </c>
      <c r="J8" s="14">
        <f>RESULT!AF5</f>
        <v>0</v>
      </c>
      <c r="K8" s="15">
        <f>RESULT!AG5</f>
        <v>0</v>
      </c>
      <c r="L8" s="14">
        <f>RESULT!AH5</f>
        <v>0</v>
      </c>
      <c r="M8" s="15">
        <f>RESULT!AI5</f>
        <v>0</v>
      </c>
      <c r="N8" s="14">
        <f>RESULT!AJ5</f>
        <v>0</v>
      </c>
    </row>
    <row r="9" spans="1:14">
      <c r="A9" s="24" t="str">
        <f>RESULT!W6</f>
        <v>BETWEEN8.5 AND 9.0</v>
      </c>
      <c r="B9" s="14">
        <f>RESULT!X6</f>
        <v>0</v>
      </c>
      <c r="C9" s="15">
        <f>RESULT!Y6</f>
        <v>0</v>
      </c>
      <c r="D9" s="14">
        <f>RESULT!Z6</f>
        <v>0</v>
      </c>
      <c r="E9" s="15">
        <f>RESULT!AA6</f>
        <v>0</v>
      </c>
      <c r="F9" s="14">
        <f>RESULT!AB6</f>
        <v>0</v>
      </c>
      <c r="G9" s="15">
        <f>RESULT!AC6</f>
        <v>0</v>
      </c>
      <c r="H9" s="14">
        <f>RESULT!AD6</f>
        <v>0</v>
      </c>
      <c r="I9" s="15">
        <f>RESULT!AE6</f>
        <v>0</v>
      </c>
      <c r="J9" s="14">
        <f>RESULT!AF6</f>
        <v>0</v>
      </c>
      <c r="K9" s="15">
        <f>RESULT!AG6</f>
        <v>0</v>
      </c>
      <c r="L9" s="14">
        <f>RESULT!AH6</f>
        <v>0</v>
      </c>
      <c r="M9" s="15">
        <f>RESULT!AI6</f>
        <v>0</v>
      </c>
      <c r="N9" s="14">
        <f>RESULT!AJ6</f>
        <v>0</v>
      </c>
    </row>
    <row r="10" spans="1:14" ht="30">
      <c r="A10" s="24" t="str">
        <f>RESULT!W7</f>
        <v>BETWEEN 8.0 AND 8.5</v>
      </c>
      <c r="B10" s="14">
        <f>RESULT!X7</f>
        <v>0</v>
      </c>
      <c r="C10" s="15">
        <f>RESULT!Y7</f>
        <v>0</v>
      </c>
      <c r="D10" s="14">
        <f>RESULT!Z7</f>
        <v>0</v>
      </c>
      <c r="E10" s="15">
        <f>RESULT!AA7</f>
        <v>0</v>
      </c>
      <c r="F10" s="14">
        <f>RESULT!AB7</f>
        <v>0</v>
      </c>
      <c r="G10" s="15">
        <f>RESULT!AC7</f>
        <v>0</v>
      </c>
      <c r="H10" s="14">
        <f>RESULT!AD7</f>
        <v>0</v>
      </c>
      <c r="I10" s="15">
        <f>RESULT!AE7</f>
        <v>0</v>
      </c>
      <c r="J10" s="14">
        <f>RESULT!AF7</f>
        <v>0</v>
      </c>
      <c r="K10" s="15">
        <f>RESULT!AG7</f>
        <v>0</v>
      </c>
      <c r="L10" s="14">
        <f>RESULT!AH7</f>
        <v>0</v>
      </c>
      <c r="M10" s="15">
        <f>RESULT!AI7</f>
        <v>0</v>
      </c>
      <c r="N10" s="14">
        <f>RESULT!AJ7</f>
        <v>0</v>
      </c>
    </row>
    <row r="11" spans="1:14" ht="30">
      <c r="A11" s="24" t="str">
        <f>RESULT!W8</f>
        <v>BETWEEN 7.5 AND 8.0</v>
      </c>
      <c r="B11" s="14">
        <f>RESULT!X8</f>
        <v>0</v>
      </c>
      <c r="C11" s="15">
        <f>RESULT!Y8</f>
        <v>0</v>
      </c>
      <c r="D11" s="14">
        <f>RESULT!Z8</f>
        <v>0</v>
      </c>
      <c r="E11" s="15">
        <f>RESULT!AA8</f>
        <v>0</v>
      </c>
      <c r="F11" s="14">
        <f>RESULT!AB8</f>
        <v>0</v>
      </c>
      <c r="G11" s="15">
        <f>RESULT!AC8</f>
        <v>0</v>
      </c>
      <c r="H11" s="14">
        <f>RESULT!AD8</f>
        <v>0</v>
      </c>
      <c r="I11" s="15">
        <f>RESULT!AE8</f>
        <v>0</v>
      </c>
      <c r="J11" s="14">
        <f>RESULT!AF8</f>
        <v>0</v>
      </c>
      <c r="K11" s="15">
        <f>RESULT!AG8</f>
        <v>0</v>
      </c>
      <c r="L11" s="14">
        <f>RESULT!AH8</f>
        <v>0</v>
      </c>
      <c r="M11" s="15">
        <f>RESULT!AI8</f>
        <v>0</v>
      </c>
      <c r="N11" s="14">
        <f>RESULT!AJ8</f>
        <v>0</v>
      </c>
    </row>
    <row r="12" spans="1:14" ht="30">
      <c r="A12" s="24" t="str">
        <f>RESULT!W9</f>
        <v>BETWEEN 7.0 AND 7.5</v>
      </c>
      <c r="B12" s="14">
        <f>RESULT!X9</f>
        <v>0</v>
      </c>
      <c r="C12" s="15">
        <f>RESULT!Y9</f>
        <v>0</v>
      </c>
      <c r="D12" s="14">
        <f>RESULT!Z9</f>
        <v>0</v>
      </c>
      <c r="E12" s="15">
        <f>RESULT!AA9</f>
        <v>0</v>
      </c>
      <c r="F12" s="14">
        <f>RESULT!AB9</f>
        <v>0</v>
      </c>
      <c r="G12" s="15">
        <f>RESULT!AC9</f>
        <v>0</v>
      </c>
      <c r="H12" s="14">
        <f>RESULT!AD9</f>
        <v>0</v>
      </c>
      <c r="I12" s="15">
        <f>RESULT!AE9</f>
        <v>0</v>
      </c>
      <c r="J12" s="14">
        <f>RESULT!AF9</f>
        <v>0</v>
      </c>
      <c r="K12" s="15">
        <f>RESULT!AG9</f>
        <v>0</v>
      </c>
      <c r="L12" s="14">
        <f>RESULT!AH9</f>
        <v>0</v>
      </c>
      <c r="M12" s="15">
        <f>RESULT!AI9</f>
        <v>0</v>
      </c>
      <c r="N12" s="14">
        <f>RESULT!AJ9</f>
        <v>0</v>
      </c>
    </row>
    <row r="13" spans="1:14" ht="30">
      <c r="A13" s="24" t="str">
        <f>RESULT!W10</f>
        <v>BETWEEN 6.5 AND 7.0</v>
      </c>
      <c r="B13" s="14">
        <f>RESULT!X10</f>
        <v>0</v>
      </c>
      <c r="C13" s="15">
        <f>RESULT!Y10</f>
        <v>0</v>
      </c>
      <c r="D13" s="14">
        <f>RESULT!Z10</f>
        <v>0</v>
      </c>
      <c r="E13" s="15">
        <f>RESULT!AA10</f>
        <v>0</v>
      </c>
      <c r="F13" s="14">
        <f>RESULT!AB10</f>
        <v>0</v>
      </c>
      <c r="G13" s="15">
        <f>RESULT!AC10</f>
        <v>0</v>
      </c>
      <c r="H13" s="14">
        <f>RESULT!AD10</f>
        <v>0</v>
      </c>
      <c r="I13" s="15">
        <f>RESULT!AE10</f>
        <v>0</v>
      </c>
      <c r="J13" s="14">
        <f>RESULT!AF10</f>
        <v>0</v>
      </c>
      <c r="K13" s="15">
        <f>RESULT!AG10</f>
        <v>0</v>
      </c>
      <c r="L13" s="14">
        <f>RESULT!AH10</f>
        <v>0</v>
      </c>
      <c r="M13" s="15">
        <f>RESULT!AI10</f>
        <v>0</v>
      </c>
      <c r="N13" s="14">
        <f>RESULT!AJ10</f>
        <v>0</v>
      </c>
    </row>
    <row r="14" spans="1:14" ht="30">
      <c r="A14" s="24" t="str">
        <f>RESULT!W11</f>
        <v>BETWEEN 6.0 AND 6.5</v>
      </c>
      <c r="B14" s="14">
        <f>RESULT!X11</f>
        <v>0</v>
      </c>
      <c r="C14" s="15">
        <f>RESULT!Y11</f>
        <v>0</v>
      </c>
      <c r="D14" s="14">
        <f>RESULT!Z11</f>
        <v>0</v>
      </c>
      <c r="E14" s="15">
        <f>RESULT!AA11</f>
        <v>0</v>
      </c>
      <c r="F14" s="14">
        <f>RESULT!AB11</f>
        <v>0</v>
      </c>
      <c r="G14" s="15">
        <f>RESULT!AC11</f>
        <v>0</v>
      </c>
      <c r="H14" s="14">
        <f>RESULT!AD11</f>
        <v>0</v>
      </c>
      <c r="I14" s="15">
        <f>RESULT!AE11</f>
        <v>0</v>
      </c>
      <c r="J14" s="14">
        <f>RESULT!AF11</f>
        <v>0</v>
      </c>
      <c r="K14" s="15">
        <f>RESULT!AG11</f>
        <v>0</v>
      </c>
      <c r="L14" s="14">
        <f>RESULT!AH11</f>
        <v>0</v>
      </c>
      <c r="M14" s="15">
        <f>RESULT!AI11</f>
        <v>0</v>
      </c>
      <c r="N14" s="14">
        <f>RESULT!AJ11</f>
        <v>0</v>
      </c>
    </row>
    <row r="15" spans="1:14" ht="30">
      <c r="A15" s="24" t="str">
        <f>RESULT!W12</f>
        <v>BETWEEN 5.5 AND 6.0</v>
      </c>
      <c r="B15" s="14">
        <f>RESULT!X12</f>
        <v>0</v>
      </c>
      <c r="C15" s="15">
        <f>RESULT!Y12</f>
        <v>0</v>
      </c>
      <c r="D15" s="14">
        <f>RESULT!Z12</f>
        <v>0</v>
      </c>
      <c r="E15" s="15">
        <f>RESULT!AA12</f>
        <v>0</v>
      </c>
      <c r="F15" s="14">
        <f>RESULT!AB12</f>
        <v>0</v>
      </c>
      <c r="G15" s="15">
        <f>RESULT!AC12</f>
        <v>0</v>
      </c>
      <c r="H15" s="14">
        <f>RESULT!AD12</f>
        <v>0</v>
      </c>
      <c r="I15" s="15">
        <f>RESULT!AE12</f>
        <v>0</v>
      </c>
      <c r="J15" s="14">
        <f>RESULT!AF12</f>
        <v>0</v>
      </c>
      <c r="K15" s="15">
        <f>RESULT!AG12</f>
        <v>0</v>
      </c>
      <c r="L15" s="14">
        <f>RESULT!AH12</f>
        <v>0</v>
      </c>
      <c r="M15" s="15">
        <f>RESULT!AI12</f>
        <v>0</v>
      </c>
      <c r="N15" s="14">
        <f>RESULT!AJ12</f>
        <v>0</v>
      </c>
    </row>
    <row r="16" spans="1:14" ht="30">
      <c r="A16" s="24" t="str">
        <f>RESULT!W13</f>
        <v>BETWEEN 5.0 AND 5.5</v>
      </c>
      <c r="B16" s="14">
        <f>RESULT!X13</f>
        <v>0</v>
      </c>
      <c r="C16" s="15">
        <f>RESULT!Y13</f>
        <v>0</v>
      </c>
      <c r="D16" s="14">
        <f>RESULT!Z13</f>
        <v>0</v>
      </c>
      <c r="E16" s="15">
        <f>RESULT!AA13</f>
        <v>0</v>
      </c>
      <c r="F16" s="14">
        <f>RESULT!AB13</f>
        <v>0</v>
      </c>
      <c r="G16" s="15">
        <f>RESULT!AC13</f>
        <v>0</v>
      </c>
      <c r="H16" s="14">
        <f>RESULT!AD13</f>
        <v>0</v>
      </c>
      <c r="I16" s="15">
        <f>RESULT!AE13</f>
        <v>0</v>
      </c>
      <c r="J16" s="14">
        <f>RESULT!AF13</f>
        <v>0</v>
      </c>
      <c r="K16" s="15">
        <f>RESULT!AG13</f>
        <v>0</v>
      </c>
      <c r="L16" s="14">
        <f>RESULT!AH13</f>
        <v>0</v>
      </c>
      <c r="M16" s="15">
        <f>RESULT!AI13</f>
        <v>0</v>
      </c>
      <c r="N16" s="14">
        <f>RESULT!AJ13</f>
        <v>0</v>
      </c>
    </row>
    <row r="17" spans="1:14" ht="30">
      <c r="A17" s="24" t="str">
        <f>RESULT!W14</f>
        <v>BETWEEN 4.5 AND 5.0</v>
      </c>
      <c r="B17" s="14">
        <f>RESULT!X14</f>
        <v>0</v>
      </c>
      <c r="C17" s="15">
        <f>RESULT!Y14</f>
        <v>0</v>
      </c>
      <c r="D17" s="14">
        <f>RESULT!Z14</f>
        <v>0</v>
      </c>
      <c r="E17" s="15">
        <f>RESULT!AA14</f>
        <v>0</v>
      </c>
      <c r="F17" s="14">
        <f>RESULT!AB14</f>
        <v>0</v>
      </c>
      <c r="G17" s="15">
        <f>RESULT!AC14</f>
        <v>0</v>
      </c>
      <c r="H17" s="14">
        <f>RESULT!AD14</f>
        <v>0</v>
      </c>
      <c r="I17" s="15">
        <f>RESULT!AE14</f>
        <v>0</v>
      </c>
      <c r="J17" s="14">
        <f>RESULT!AF14</f>
        <v>0</v>
      </c>
      <c r="K17" s="15">
        <f>RESULT!AG14</f>
        <v>0</v>
      </c>
      <c r="L17" s="14">
        <f>RESULT!AH14</f>
        <v>0</v>
      </c>
      <c r="M17" s="15">
        <f>RESULT!AI14</f>
        <v>0</v>
      </c>
      <c r="N17" s="14">
        <f>RESULT!AJ14</f>
        <v>0</v>
      </c>
    </row>
    <row r="18" spans="1:14" ht="30">
      <c r="A18" s="24" t="str">
        <f>RESULT!W15</f>
        <v>BETWEEN 4.0 AND 4.5</v>
      </c>
      <c r="B18" s="14">
        <f>RESULT!X15</f>
        <v>0</v>
      </c>
      <c r="C18" s="15">
        <f>RESULT!Y15</f>
        <v>0</v>
      </c>
      <c r="D18" s="14">
        <f>RESULT!Z15</f>
        <v>0</v>
      </c>
      <c r="E18" s="15">
        <f>RESULT!AA15</f>
        <v>0</v>
      </c>
      <c r="F18" s="14">
        <f>RESULT!AB15</f>
        <v>0</v>
      </c>
      <c r="G18" s="15">
        <f>RESULT!AC15</f>
        <v>0</v>
      </c>
      <c r="H18" s="14">
        <f>RESULT!AD15</f>
        <v>0</v>
      </c>
      <c r="I18" s="15">
        <f>RESULT!AE15</f>
        <v>0</v>
      </c>
      <c r="J18" s="14">
        <f>RESULT!AF15</f>
        <v>0</v>
      </c>
      <c r="K18" s="15">
        <f>RESULT!AG15</f>
        <v>0</v>
      </c>
      <c r="L18" s="14">
        <f>RESULT!AH15</f>
        <v>0</v>
      </c>
      <c r="M18" s="15">
        <f>RESULT!AI15</f>
        <v>0</v>
      </c>
      <c r="N18" s="14">
        <f>RESULT!AJ15</f>
        <v>0</v>
      </c>
    </row>
    <row r="19" spans="1:14" ht="30">
      <c r="A19" s="24" t="str">
        <f>RESULT!W16</f>
        <v>BETWEEN 3.5 AND 4.0</v>
      </c>
      <c r="B19" s="14">
        <f>RESULT!X16</f>
        <v>0</v>
      </c>
      <c r="C19" s="15">
        <f>RESULT!Y16</f>
        <v>0</v>
      </c>
      <c r="D19" s="14">
        <f>RESULT!Z16</f>
        <v>0</v>
      </c>
      <c r="E19" s="15">
        <f>RESULT!AA16</f>
        <v>0</v>
      </c>
      <c r="F19" s="14">
        <f>RESULT!AB16</f>
        <v>0</v>
      </c>
      <c r="G19" s="15">
        <f>RESULT!AC16</f>
        <v>0</v>
      </c>
      <c r="H19" s="14">
        <f>RESULT!AD16</f>
        <v>0</v>
      </c>
      <c r="I19" s="15">
        <f>RESULT!AE16</f>
        <v>0</v>
      </c>
      <c r="J19" s="14">
        <f>RESULT!AF16</f>
        <v>0</v>
      </c>
      <c r="K19" s="15">
        <f>RESULT!AG16</f>
        <v>0</v>
      </c>
      <c r="L19" s="14">
        <f>RESULT!AH16</f>
        <v>0</v>
      </c>
      <c r="M19" s="15">
        <f>RESULT!AI16</f>
        <v>0</v>
      </c>
      <c r="N19" s="14">
        <f>RESULT!AJ16</f>
        <v>0</v>
      </c>
    </row>
    <row r="20" spans="1:14" ht="30">
      <c r="A20" s="24" t="str">
        <f>RESULT!W17</f>
        <v>BETWEEN 3.0 AND 3.5</v>
      </c>
      <c r="B20" s="14">
        <f>RESULT!X17</f>
        <v>0</v>
      </c>
      <c r="C20" s="15">
        <f>RESULT!Y17</f>
        <v>0</v>
      </c>
      <c r="D20" s="14">
        <f>RESULT!Z17</f>
        <v>0</v>
      </c>
      <c r="E20" s="15">
        <f>RESULT!AA17</f>
        <v>0</v>
      </c>
      <c r="F20" s="14">
        <f>RESULT!AB17</f>
        <v>0</v>
      </c>
      <c r="G20" s="15">
        <f>RESULT!AC17</f>
        <v>0</v>
      </c>
      <c r="H20" s="14">
        <f>RESULT!AD17</f>
        <v>0</v>
      </c>
      <c r="I20" s="15">
        <f>RESULT!AE17</f>
        <v>0</v>
      </c>
      <c r="J20" s="14">
        <f>RESULT!AF17</f>
        <v>0</v>
      </c>
      <c r="K20" s="15">
        <f>RESULT!AG17</f>
        <v>0</v>
      </c>
      <c r="L20" s="14">
        <f>RESULT!AH17</f>
        <v>0</v>
      </c>
      <c r="M20" s="15">
        <f>RESULT!AI17</f>
        <v>0</v>
      </c>
      <c r="N20" s="14">
        <f>RESULT!AJ17</f>
        <v>0</v>
      </c>
    </row>
    <row r="21" spans="1:14" ht="30">
      <c r="A21" s="24" t="str">
        <f>RESULT!W18</f>
        <v>BETWEEN 2.5 AND 3.0</v>
      </c>
      <c r="B21" s="14">
        <f>RESULT!X18</f>
        <v>0</v>
      </c>
      <c r="C21" s="15">
        <f>RESULT!Y18</f>
        <v>0</v>
      </c>
      <c r="D21" s="14">
        <f>RESULT!Z18</f>
        <v>0</v>
      </c>
      <c r="E21" s="15">
        <f>RESULT!AA18</f>
        <v>0</v>
      </c>
      <c r="F21" s="14">
        <f>RESULT!AB18</f>
        <v>0</v>
      </c>
      <c r="G21" s="15">
        <f>RESULT!AC18</f>
        <v>0</v>
      </c>
      <c r="H21" s="14">
        <f>RESULT!AD18</f>
        <v>0</v>
      </c>
      <c r="I21" s="15">
        <f>RESULT!AE18</f>
        <v>0</v>
      </c>
      <c r="J21" s="14">
        <f>RESULT!AF18</f>
        <v>0</v>
      </c>
      <c r="K21" s="15">
        <f>RESULT!AG18</f>
        <v>0</v>
      </c>
      <c r="L21" s="14">
        <f>RESULT!AH18</f>
        <v>0</v>
      </c>
      <c r="M21" s="15">
        <f>RESULT!AI18</f>
        <v>0</v>
      </c>
      <c r="N21" s="14">
        <f>RESULT!AJ18</f>
        <v>0</v>
      </c>
    </row>
    <row r="22" spans="1:14" ht="30">
      <c r="A22" s="24" t="str">
        <f>RESULT!W19</f>
        <v>BETWEEN 2.0 AND 2.5</v>
      </c>
      <c r="B22" s="14">
        <f>RESULT!X19</f>
        <v>0</v>
      </c>
      <c r="C22" s="15">
        <f>RESULT!Y19</f>
        <v>0</v>
      </c>
      <c r="D22" s="14">
        <f>RESULT!Z19</f>
        <v>0</v>
      </c>
      <c r="E22" s="15">
        <f>RESULT!AA19</f>
        <v>0</v>
      </c>
      <c r="F22" s="14">
        <f>RESULT!AB19</f>
        <v>0</v>
      </c>
      <c r="G22" s="15">
        <f>RESULT!AC19</f>
        <v>0</v>
      </c>
      <c r="H22" s="14">
        <f>RESULT!AD19</f>
        <v>0</v>
      </c>
      <c r="I22" s="15">
        <f>RESULT!AE19</f>
        <v>0</v>
      </c>
      <c r="J22" s="14">
        <f>RESULT!AF19</f>
        <v>0</v>
      </c>
      <c r="K22" s="15">
        <f>RESULT!AG19</f>
        <v>0</v>
      </c>
      <c r="L22" s="14">
        <f>RESULT!AH19</f>
        <v>0</v>
      </c>
      <c r="M22" s="15">
        <f>RESULT!AI19</f>
        <v>0</v>
      </c>
      <c r="N22" s="14">
        <f>RESULT!AJ19</f>
        <v>0</v>
      </c>
    </row>
    <row r="23" spans="1:14" ht="30">
      <c r="A23" s="24" t="str">
        <f>RESULT!W20</f>
        <v>BETWEEN 1.5 AND 2.0</v>
      </c>
      <c r="B23" s="14">
        <f>RESULT!X20</f>
        <v>0</v>
      </c>
      <c r="C23" s="15">
        <f>RESULT!Y20</f>
        <v>0</v>
      </c>
      <c r="D23" s="14">
        <f>RESULT!Z20</f>
        <v>0</v>
      </c>
      <c r="E23" s="15">
        <f>RESULT!AA20</f>
        <v>0</v>
      </c>
      <c r="F23" s="14">
        <f>RESULT!AB20</f>
        <v>0</v>
      </c>
      <c r="G23" s="15">
        <f>RESULT!AC20</f>
        <v>0</v>
      </c>
      <c r="H23" s="14">
        <f>RESULT!AD20</f>
        <v>0</v>
      </c>
      <c r="I23" s="15">
        <f>RESULT!AE20</f>
        <v>0</v>
      </c>
      <c r="J23" s="14">
        <f>RESULT!AF20</f>
        <v>0</v>
      </c>
      <c r="K23" s="15">
        <f>RESULT!AG20</f>
        <v>0</v>
      </c>
      <c r="L23" s="14">
        <f>RESULT!AH20</f>
        <v>0</v>
      </c>
      <c r="M23" s="15">
        <f>RESULT!AI20</f>
        <v>0</v>
      </c>
      <c r="N23" s="14">
        <f>RESULT!AJ20</f>
        <v>0</v>
      </c>
    </row>
    <row r="24" spans="1:14" ht="30">
      <c r="A24" s="24" t="str">
        <f>RESULT!W21</f>
        <v>BETWEEN 1.0 AND 1.5</v>
      </c>
      <c r="B24" s="14">
        <f>RESULT!X21</f>
        <v>0</v>
      </c>
      <c r="C24" s="15">
        <f>RESULT!Y21</f>
        <v>0</v>
      </c>
      <c r="D24" s="14">
        <f>RESULT!Z21</f>
        <v>0</v>
      </c>
      <c r="E24" s="15">
        <f>RESULT!AA21</f>
        <v>0</v>
      </c>
      <c r="F24" s="14">
        <f>RESULT!AB21</f>
        <v>0</v>
      </c>
      <c r="G24" s="15">
        <f>RESULT!AC21</f>
        <v>0</v>
      </c>
      <c r="H24" s="14">
        <f>RESULT!AD21</f>
        <v>0</v>
      </c>
      <c r="I24" s="15">
        <f>RESULT!AE21</f>
        <v>0</v>
      </c>
      <c r="J24" s="14">
        <f>RESULT!AF21</f>
        <v>0</v>
      </c>
      <c r="K24" s="15">
        <f>RESULT!AG21</f>
        <v>0</v>
      </c>
      <c r="L24" s="14">
        <f>RESULT!AH21</f>
        <v>0</v>
      </c>
      <c r="M24" s="15">
        <f>RESULT!AI21</f>
        <v>0</v>
      </c>
      <c r="N24" s="14">
        <f>RESULT!AJ21</f>
        <v>0</v>
      </c>
    </row>
    <row r="25" spans="1:14" ht="30">
      <c r="A25" s="24" t="str">
        <f>RESULT!W22</f>
        <v>BETWEEN 0.5 AND 1.0</v>
      </c>
      <c r="B25" s="14">
        <f>RESULT!X22</f>
        <v>0</v>
      </c>
      <c r="C25" s="15">
        <f>RESULT!Y22</f>
        <v>0</v>
      </c>
      <c r="D25" s="14">
        <f>RESULT!Z22</f>
        <v>0</v>
      </c>
      <c r="E25" s="15">
        <f>RESULT!AA22</f>
        <v>0</v>
      </c>
      <c r="F25" s="14">
        <f>RESULT!AB22</f>
        <v>0</v>
      </c>
      <c r="G25" s="15">
        <f>RESULT!AC22</f>
        <v>0</v>
      </c>
      <c r="H25" s="14">
        <f>RESULT!AD22</f>
        <v>0</v>
      </c>
      <c r="I25" s="15">
        <f>RESULT!AE22</f>
        <v>0</v>
      </c>
      <c r="J25" s="14">
        <f>RESULT!AF22</f>
        <v>0</v>
      </c>
      <c r="K25" s="15">
        <f>RESULT!AG22</f>
        <v>0</v>
      </c>
      <c r="L25" s="14">
        <f>RESULT!AH22</f>
        <v>0</v>
      </c>
      <c r="M25" s="15">
        <f>RESULT!AI22</f>
        <v>0</v>
      </c>
      <c r="N25" s="14">
        <f>RESULT!AJ22</f>
        <v>0</v>
      </c>
    </row>
    <row r="26" spans="1:14" ht="30">
      <c r="A26" s="24" t="str">
        <f>RESULT!W23</f>
        <v>BETWEEN 0.0 AND 0.5</v>
      </c>
      <c r="B26" s="14">
        <f>RESULT!X23</f>
        <v>0</v>
      </c>
      <c r="C26" s="15">
        <f>RESULT!Y23</f>
        <v>0</v>
      </c>
      <c r="D26" s="14">
        <f>RESULT!Z23</f>
        <v>0</v>
      </c>
      <c r="E26" s="15">
        <f>RESULT!AA23</f>
        <v>0</v>
      </c>
      <c r="F26" s="14">
        <f>RESULT!AB23</f>
        <v>0</v>
      </c>
      <c r="G26" s="15">
        <f>RESULT!AC23</f>
        <v>0</v>
      </c>
      <c r="H26" s="14">
        <f>RESULT!AD23</f>
        <v>0</v>
      </c>
      <c r="I26" s="15">
        <f>RESULT!AE23</f>
        <v>0</v>
      </c>
      <c r="J26" s="14">
        <f>RESULT!AF23</f>
        <v>0</v>
      </c>
      <c r="K26" s="15">
        <f>RESULT!AG23</f>
        <v>0</v>
      </c>
      <c r="L26" s="14">
        <f>RESULT!AH23</f>
        <v>0</v>
      </c>
      <c r="M26" s="15">
        <f>RESULT!AI23</f>
        <v>0</v>
      </c>
      <c r="N26" s="14">
        <f>RESULT!AJ23</f>
        <v>0</v>
      </c>
    </row>
    <row r="27" spans="1:14" ht="28.5">
      <c r="A27" s="24" t="s">
        <v>13</v>
      </c>
      <c r="B27" s="25">
        <f>SUM(B7:B26)</f>
        <v>0</v>
      </c>
      <c r="C27" s="26">
        <f t="shared" ref="C27:N27" si="0">SUM(C7:C26)</f>
        <v>0</v>
      </c>
      <c r="D27" s="25">
        <f t="shared" si="0"/>
        <v>0</v>
      </c>
      <c r="E27" s="26">
        <f t="shared" si="0"/>
        <v>0</v>
      </c>
      <c r="F27" s="25">
        <f t="shared" si="0"/>
        <v>0</v>
      </c>
      <c r="G27" s="26">
        <f t="shared" si="0"/>
        <v>0</v>
      </c>
      <c r="H27" s="25">
        <f t="shared" si="0"/>
        <v>0</v>
      </c>
      <c r="I27" s="26">
        <f t="shared" si="0"/>
        <v>0</v>
      </c>
      <c r="J27" s="25">
        <f t="shared" si="0"/>
        <v>0</v>
      </c>
      <c r="K27" s="26">
        <f t="shared" si="0"/>
        <v>0</v>
      </c>
      <c r="L27" s="25">
        <f t="shared" si="0"/>
        <v>0</v>
      </c>
      <c r="M27" s="26">
        <f t="shared" si="0"/>
        <v>0</v>
      </c>
      <c r="N27" s="25">
        <f t="shared" si="0"/>
        <v>0</v>
      </c>
    </row>
  </sheetData>
  <mergeCells count="12">
    <mergeCell ref="L5:M5"/>
    <mergeCell ref="N5:N6"/>
    <mergeCell ref="A1:N1"/>
    <mergeCell ref="A2:N2"/>
    <mergeCell ref="A3:N3"/>
    <mergeCell ref="A4:N4"/>
    <mergeCell ref="A5:A6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topLeftCell="A4" workbookViewId="0">
      <selection activeCell="D7" sqref="D7"/>
    </sheetView>
  </sheetViews>
  <sheetFormatPr defaultRowHeight="15"/>
  <cols>
    <col min="1" max="1" width="10.5703125" customWidth="1"/>
    <col min="2" max="13" width="8.28515625" customWidth="1"/>
    <col min="14" max="14" width="13.5703125" bestFit="1" customWidth="1"/>
  </cols>
  <sheetData>
    <row r="1" spans="1:14" ht="26.25">
      <c r="A1" s="48" t="s">
        <v>42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26.25">
      <c r="A2" s="48" t="s">
        <v>43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26.25">
      <c r="A3" s="48" t="s">
        <v>44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26.25">
      <c r="A4" s="48" t="s">
        <v>45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ht="21" customHeight="1">
      <c r="A5" s="54" t="str">
        <f>RESULT!AM2</f>
        <v>GRADE</v>
      </c>
      <c r="B5" s="54" t="str">
        <f>RESULT!AN2</f>
        <v>SC</v>
      </c>
      <c r="C5" s="54"/>
      <c r="D5" s="54" t="str">
        <f>RESULT!AP2</f>
        <v>ST</v>
      </c>
      <c r="E5" s="54"/>
      <c r="F5" s="54" t="str">
        <f>RESULT!AR2</f>
        <v>BC</v>
      </c>
      <c r="G5" s="54"/>
      <c r="H5" s="54" t="str">
        <f>RESULT!AT2</f>
        <v>OC</v>
      </c>
      <c r="I5" s="54"/>
      <c r="J5" s="54" t="str">
        <f>RESULT!AV2</f>
        <v>MUSLIM</v>
      </c>
      <c r="K5" s="54"/>
      <c r="L5" s="54" t="str">
        <f>RESULT!AX2</f>
        <v>TOTAL</v>
      </c>
      <c r="M5" s="54"/>
      <c r="N5" s="54" t="str">
        <f>RESULT!AZ2</f>
        <v>GRAND TOTAL</v>
      </c>
    </row>
    <row r="6" spans="1:14" ht="21" customHeight="1">
      <c r="A6" s="54"/>
      <c r="B6" s="8" t="str">
        <f>RESULT!AN3</f>
        <v>B</v>
      </c>
      <c r="C6" s="9" t="str">
        <f>RESULT!AO3</f>
        <v>G</v>
      </c>
      <c r="D6" s="8" t="str">
        <f>RESULT!AP3</f>
        <v>B</v>
      </c>
      <c r="E6" s="9" t="str">
        <f>RESULT!AQ3</f>
        <v>G</v>
      </c>
      <c r="F6" s="8" t="str">
        <f>RESULT!AR3</f>
        <v>B</v>
      </c>
      <c r="G6" s="9" t="str">
        <f>RESULT!AS3</f>
        <v>G</v>
      </c>
      <c r="H6" s="8" t="str">
        <f>RESULT!AT3</f>
        <v>B</v>
      </c>
      <c r="I6" s="9" t="str">
        <f>RESULT!AU3</f>
        <v>G</v>
      </c>
      <c r="J6" s="8" t="str">
        <f>RESULT!AV3</f>
        <v>B</v>
      </c>
      <c r="K6" s="9" t="str">
        <f>RESULT!AW3</f>
        <v>G</v>
      </c>
      <c r="L6" s="8">
        <f>RESULT!AX3</f>
        <v>0</v>
      </c>
      <c r="M6" s="9">
        <f>RESULT!AY3</f>
        <v>0</v>
      </c>
      <c r="N6" s="54"/>
    </row>
    <row r="7" spans="1:14" ht="23.25">
      <c r="A7" s="13" t="str">
        <f>RESULT!AM4</f>
        <v>A+</v>
      </c>
      <c r="B7" s="13">
        <f>RESULT!AN4</f>
        <v>0</v>
      </c>
      <c r="C7" s="27">
        <f>RESULT!AO4</f>
        <v>0</v>
      </c>
      <c r="D7" s="13">
        <f>RESULT!AP4</f>
        <v>15</v>
      </c>
      <c r="E7" s="27">
        <f>RESULT!AQ4</f>
        <v>0</v>
      </c>
      <c r="F7" s="13">
        <f>RESULT!AR4</f>
        <v>0</v>
      </c>
      <c r="G7" s="27">
        <f>RESULT!AS4</f>
        <v>0</v>
      </c>
      <c r="H7" s="13">
        <f>RESULT!AT4</f>
        <v>0</v>
      </c>
      <c r="I7" s="27">
        <f>RESULT!AU4</f>
        <v>0</v>
      </c>
      <c r="J7" s="13">
        <f>RESULT!AV4</f>
        <v>0</v>
      </c>
      <c r="K7" s="27">
        <f>RESULT!AW4</f>
        <v>0</v>
      </c>
      <c r="L7" s="13">
        <f>RESULT!AX4</f>
        <v>15</v>
      </c>
      <c r="M7" s="27">
        <f>RESULT!AY4</f>
        <v>0</v>
      </c>
      <c r="N7" s="30">
        <f>RESULT!AZ4</f>
        <v>15</v>
      </c>
    </row>
    <row r="8" spans="1:14" ht="23.25">
      <c r="A8" s="13" t="str">
        <f>RESULT!AM5</f>
        <v xml:space="preserve">A </v>
      </c>
      <c r="B8" s="13">
        <f>RESULT!AN5</f>
        <v>0</v>
      </c>
      <c r="C8" s="27">
        <f>RESULT!AO5</f>
        <v>0</v>
      </c>
      <c r="D8" s="13">
        <f>RESULT!AP5</f>
        <v>0</v>
      </c>
      <c r="E8" s="27">
        <f>RESULT!AQ5</f>
        <v>0</v>
      </c>
      <c r="F8" s="13">
        <f>RESULT!AR5</f>
        <v>0</v>
      </c>
      <c r="G8" s="27">
        <f>RESULT!AS5</f>
        <v>0</v>
      </c>
      <c r="H8" s="13">
        <f>RESULT!AT5</f>
        <v>0</v>
      </c>
      <c r="I8" s="27">
        <f>RESULT!AU5</f>
        <v>0</v>
      </c>
      <c r="J8" s="13">
        <f>RESULT!AV5</f>
        <v>0</v>
      </c>
      <c r="K8" s="27">
        <f>RESULT!AW5</f>
        <v>0</v>
      </c>
      <c r="L8" s="13">
        <f>RESULT!AX5</f>
        <v>0</v>
      </c>
      <c r="M8" s="27">
        <f>RESULT!AY5</f>
        <v>0</v>
      </c>
      <c r="N8" s="30">
        <f>RESULT!AZ5</f>
        <v>0</v>
      </c>
    </row>
    <row r="9" spans="1:14" ht="23.25">
      <c r="A9" s="13" t="str">
        <f>RESULT!AM6</f>
        <v>B+</v>
      </c>
      <c r="B9" s="13">
        <f>RESULT!AN6</f>
        <v>0</v>
      </c>
      <c r="C9" s="27">
        <f>RESULT!AO6</f>
        <v>0</v>
      </c>
      <c r="D9" s="13">
        <f>RESULT!AP6</f>
        <v>0</v>
      </c>
      <c r="E9" s="27">
        <f>RESULT!AQ6</f>
        <v>0</v>
      </c>
      <c r="F9" s="13">
        <f>RESULT!AR6</f>
        <v>0</v>
      </c>
      <c r="G9" s="27">
        <f>RESULT!AS6</f>
        <v>0</v>
      </c>
      <c r="H9" s="13">
        <f>RESULT!AT6</f>
        <v>0</v>
      </c>
      <c r="I9" s="27">
        <f>RESULT!AU6</f>
        <v>0</v>
      </c>
      <c r="J9" s="13">
        <f>RESULT!AV6</f>
        <v>0</v>
      </c>
      <c r="K9" s="27">
        <f>RESULT!AW6</f>
        <v>0</v>
      </c>
      <c r="L9" s="13">
        <f>RESULT!AX6</f>
        <v>0</v>
      </c>
      <c r="M9" s="27">
        <f>RESULT!AY6</f>
        <v>0</v>
      </c>
      <c r="N9" s="30">
        <f>RESULT!AZ6</f>
        <v>0</v>
      </c>
    </row>
    <row r="10" spans="1:14" ht="23.25">
      <c r="A10" s="13" t="str">
        <f>RESULT!AM7</f>
        <v xml:space="preserve">B </v>
      </c>
      <c r="B10" s="13">
        <f>RESULT!AN7</f>
        <v>0</v>
      </c>
      <c r="C10" s="27">
        <f>RESULT!AO7</f>
        <v>0</v>
      </c>
      <c r="D10" s="13">
        <f>RESULT!AP7</f>
        <v>0</v>
      </c>
      <c r="E10" s="27">
        <f>RESULT!AQ7</f>
        <v>0</v>
      </c>
      <c r="F10" s="13">
        <f>RESULT!AR7</f>
        <v>0</v>
      </c>
      <c r="G10" s="27">
        <f>RESULT!AS7</f>
        <v>0</v>
      </c>
      <c r="H10" s="13">
        <f>RESULT!AT7</f>
        <v>0</v>
      </c>
      <c r="I10" s="27">
        <f>RESULT!AU7</f>
        <v>0</v>
      </c>
      <c r="J10" s="13">
        <f>RESULT!AV7</f>
        <v>0</v>
      </c>
      <c r="K10" s="27">
        <f>RESULT!AW7</f>
        <v>0</v>
      </c>
      <c r="L10" s="13">
        <f>RESULT!AX7</f>
        <v>0</v>
      </c>
      <c r="M10" s="27">
        <f>RESULT!AY7</f>
        <v>0</v>
      </c>
      <c r="N10" s="30">
        <f>RESULT!AZ7</f>
        <v>0</v>
      </c>
    </row>
    <row r="11" spans="1:14" ht="23.25">
      <c r="A11" s="13" t="str">
        <f>RESULT!AM8</f>
        <v>C+</v>
      </c>
      <c r="B11" s="13">
        <f>RESULT!AN8</f>
        <v>0</v>
      </c>
      <c r="C11" s="27">
        <f>RESULT!AO8</f>
        <v>0</v>
      </c>
      <c r="D11" s="13">
        <f>RESULT!AP8</f>
        <v>0</v>
      </c>
      <c r="E11" s="27">
        <f>RESULT!AQ8</f>
        <v>0</v>
      </c>
      <c r="F11" s="13">
        <f>RESULT!AR8</f>
        <v>0</v>
      </c>
      <c r="G11" s="27">
        <f>RESULT!AS8</f>
        <v>0</v>
      </c>
      <c r="H11" s="13">
        <f>RESULT!AT8</f>
        <v>0</v>
      </c>
      <c r="I11" s="27">
        <f>RESULT!AU8</f>
        <v>0</v>
      </c>
      <c r="J11" s="13">
        <f>RESULT!AV8</f>
        <v>0</v>
      </c>
      <c r="K11" s="27">
        <f>RESULT!AW8</f>
        <v>0</v>
      </c>
      <c r="L11" s="13">
        <f>RESULT!AX8</f>
        <v>0</v>
      </c>
      <c r="M11" s="27">
        <f>RESULT!AY8</f>
        <v>0</v>
      </c>
      <c r="N11" s="30">
        <f>RESULT!AZ8</f>
        <v>0</v>
      </c>
    </row>
    <row r="12" spans="1:14" ht="23.25">
      <c r="A12" s="13" t="str">
        <f>RESULT!AM9</f>
        <v xml:space="preserve">C </v>
      </c>
      <c r="B12" s="13">
        <f>RESULT!AN9</f>
        <v>0</v>
      </c>
      <c r="C12" s="27">
        <f>RESULT!AO9</f>
        <v>0</v>
      </c>
      <c r="D12" s="13">
        <f>RESULT!AP9</f>
        <v>0</v>
      </c>
      <c r="E12" s="27">
        <f>RESULT!AQ9</f>
        <v>0</v>
      </c>
      <c r="F12" s="13">
        <f>RESULT!AR9</f>
        <v>0</v>
      </c>
      <c r="G12" s="27">
        <f>RESULT!AS9</f>
        <v>0</v>
      </c>
      <c r="H12" s="13">
        <f>RESULT!AT9</f>
        <v>0</v>
      </c>
      <c r="I12" s="27">
        <f>RESULT!AU9</f>
        <v>0</v>
      </c>
      <c r="J12" s="13">
        <f>RESULT!AV9</f>
        <v>0</v>
      </c>
      <c r="K12" s="27">
        <f>RESULT!AW9</f>
        <v>0</v>
      </c>
      <c r="L12" s="13">
        <f>RESULT!AX9</f>
        <v>0</v>
      </c>
      <c r="M12" s="27">
        <f>RESULT!AY9</f>
        <v>0</v>
      </c>
      <c r="N12" s="30">
        <f>RESULT!AZ9</f>
        <v>0</v>
      </c>
    </row>
    <row r="13" spans="1:14" ht="23.25">
      <c r="A13" s="13" t="str">
        <f>RESULT!AM10</f>
        <v>D+</v>
      </c>
      <c r="B13" s="13">
        <f>RESULT!AN10</f>
        <v>0</v>
      </c>
      <c r="C13" s="27">
        <f>RESULT!AO10</f>
        <v>0</v>
      </c>
      <c r="D13" s="13">
        <f>RESULT!AP10</f>
        <v>0</v>
      </c>
      <c r="E13" s="27">
        <f>RESULT!AQ10</f>
        <v>0</v>
      </c>
      <c r="F13" s="13">
        <f>RESULT!AR10</f>
        <v>0</v>
      </c>
      <c r="G13" s="27">
        <f>RESULT!AS10</f>
        <v>0</v>
      </c>
      <c r="H13" s="13">
        <f>RESULT!AT10</f>
        <v>0</v>
      </c>
      <c r="I13" s="27">
        <f>RESULT!AU10</f>
        <v>0</v>
      </c>
      <c r="J13" s="13">
        <f>RESULT!AV10</f>
        <v>0</v>
      </c>
      <c r="K13" s="27">
        <f>RESULT!AW10</f>
        <v>0</v>
      </c>
      <c r="L13" s="13">
        <f>RESULT!AX10</f>
        <v>0</v>
      </c>
      <c r="M13" s="27">
        <f>RESULT!AY10</f>
        <v>0</v>
      </c>
      <c r="N13" s="30">
        <f>RESULT!AZ10</f>
        <v>0</v>
      </c>
    </row>
    <row r="14" spans="1:14" ht="23.25">
      <c r="A14" s="13" t="str">
        <f>RESULT!AM11</f>
        <v xml:space="preserve">D </v>
      </c>
      <c r="B14" s="13">
        <f>RESULT!AN11</f>
        <v>0</v>
      </c>
      <c r="C14" s="27">
        <f>RESULT!AO11</f>
        <v>0</v>
      </c>
      <c r="D14" s="13">
        <f>RESULT!AP11</f>
        <v>0</v>
      </c>
      <c r="E14" s="27">
        <f>RESULT!AQ11</f>
        <v>0</v>
      </c>
      <c r="F14" s="13">
        <f>RESULT!AR11</f>
        <v>0</v>
      </c>
      <c r="G14" s="27">
        <f>RESULT!AS11</f>
        <v>0</v>
      </c>
      <c r="H14" s="13">
        <f>RESULT!AT11</f>
        <v>0</v>
      </c>
      <c r="I14" s="27">
        <f>RESULT!AU11</f>
        <v>0</v>
      </c>
      <c r="J14" s="13">
        <f>RESULT!AV11</f>
        <v>0</v>
      </c>
      <c r="K14" s="27">
        <f>RESULT!AW11</f>
        <v>0</v>
      </c>
      <c r="L14" s="13">
        <f>RESULT!AX11</f>
        <v>0</v>
      </c>
      <c r="M14" s="27">
        <f>RESULT!AY11</f>
        <v>0</v>
      </c>
      <c r="N14" s="30">
        <f>RESULT!AZ11</f>
        <v>0</v>
      </c>
    </row>
    <row r="15" spans="1:14" ht="23.25">
      <c r="A15" s="13" t="str">
        <f>RESULT!AM12</f>
        <v>E</v>
      </c>
      <c r="B15" s="13">
        <f>RESULT!AN12</f>
        <v>0</v>
      </c>
      <c r="C15" s="27">
        <f>RESULT!AO12</f>
        <v>0</v>
      </c>
      <c r="D15" s="13">
        <f>RESULT!AP12</f>
        <v>0</v>
      </c>
      <c r="E15" s="27">
        <f>RESULT!AQ12</f>
        <v>0</v>
      </c>
      <c r="F15" s="13">
        <f>RESULT!AR12</f>
        <v>0</v>
      </c>
      <c r="G15" s="27">
        <f>RESULT!AS12</f>
        <v>0</v>
      </c>
      <c r="H15" s="13">
        <f>RESULT!AT12</f>
        <v>0</v>
      </c>
      <c r="I15" s="27">
        <f>RESULT!AU12</f>
        <v>0</v>
      </c>
      <c r="J15" s="13">
        <f>RESULT!AV12</f>
        <v>0</v>
      </c>
      <c r="K15" s="27">
        <f>RESULT!AW12</f>
        <v>0</v>
      </c>
      <c r="L15" s="13">
        <f>RESULT!AX12</f>
        <v>0</v>
      </c>
      <c r="M15" s="27">
        <f>RESULT!AY12</f>
        <v>0</v>
      </c>
      <c r="N15" s="30">
        <f>RESULT!AZ12</f>
        <v>0</v>
      </c>
    </row>
    <row r="16" spans="1:14" ht="23.25">
      <c r="A16" s="13" t="str">
        <f>RESULT!AM13</f>
        <v>TOTAL</v>
      </c>
      <c r="B16" s="28">
        <f>RESULT!AN13</f>
        <v>0</v>
      </c>
      <c r="C16" s="29">
        <f>RESULT!AO13</f>
        <v>0</v>
      </c>
      <c r="D16" s="28">
        <f>RESULT!AP13</f>
        <v>15</v>
      </c>
      <c r="E16" s="29">
        <f>RESULT!AQ13</f>
        <v>0</v>
      </c>
      <c r="F16" s="28">
        <f>RESULT!AR13</f>
        <v>0</v>
      </c>
      <c r="G16" s="29">
        <f>RESULT!AS13</f>
        <v>0</v>
      </c>
      <c r="H16" s="28">
        <f>RESULT!AT13</f>
        <v>0</v>
      </c>
      <c r="I16" s="29">
        <f>RESULT!AU13</f>
        <v>0</v>
      </c>
      <c r="J16" s="28">
        <f>RESULT!AV13</f>
        <v>0</v>
      </c>
      <c r="K16" s="29">
        <f>RESULT!AW13</f>
        <v>0</v>
      </c>
      <c r="L16" s="28">
        <f>RESULT!AX13</f>
        <v>15</v>
      </c>
      <c r="M16" s="29">
        <f>RESULT!AY13</f>
        <v>0</v>
      </c>
      <c r="N16" s="30">
        <f>RESULT!AZ13</f>
        <v>15</v>
      </c>
    </row>
  </sheetData>
  <mergeCells count="12">
    <mergeCell ref="A1:N1"/>
    <mergeCell ref="A2:N2"/>
    <mergeCell ref="A3:N3"/>
    <mergeCell ref="A4:N4"/>
    <mergeCell ref="D5:E5"/>
    <mergeCell ref="B5:C5"/>
    <mergeCell ref="A5:A6"/>
    <mergeCell ref="L5:M5"/>
    <mergeCell ref="N5:N6"/>
    <mergeCell ref="J5:K5"/>
    <mergeCell ref="H5:I5"/>
    <mergeCell ref="F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7"/>
  <sheetViews>
    <sheetView workbookViewId="0">
      <selection activeCell="D7" sqref="D7"/>
    </sheetView>
  </sheetViews>
  <sheetFormatPr defaultRowHeight="15"/>
  <cols>
    <col min="1" max="16384" width="9.140625" style="6"/>
  </cols>
  <sheetData>
    <row r="1" spans="1:28">
      <c r="A1" s="55" t="str">
        <f>G.P.A.!A1</f>
        <v>DANAVAIPETA MUNICIPAL CORPORATION HIGH SCHOOL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32">
        <f>RESULT!$O$1</f>
        <v>53</v>
      </c>
    </row>
    <row r="2" spans="1:28">
      <c r="A2" s="55" t="str">
        <f>G.P.A.!A2</f>
        <v>BI-PASS ROAD,                                                RAJAHMUNDRY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28">
      <c r="A3" s="55" t="str">
        <f>G.P.A.!A3</f>
        <v>S.S.C. PUBLIC EXAMINATIONS,          MARCH / APRIL 2015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28">
      <c r="A4" s="55" t="str">
        <f>G.P.A.!A4</f>
        <v>R  E  S  U  L  T  S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28" ht="30">
      <c r="A5" s="52" t="str">
        <f>G.P.A.!A5</f>
        <v>G.P.A.</v>
      </c>
      <c r="B5" s="52" t="str">
        <f>G.P.A.!B5</f>
        <v>SC</v>
      </c>
      <c r="C5" s="52"/>
      <c r="D5" s="52" t="str">
        <f>G.P.A.!D5</f>
        <v>ST</v>
      </c>
      <c r="E5" s="52"/>
      <c r="F5" s="52" t="str">
        <f>G.P.A.!F5</f>
        <v>BC</v>
      </c>
      <c r="G5" s="52"/>
      <c r="H5" s="52" t="str">
        <f>G.P.A.!H5</f>
        <v>OC</v>
      </c>
      <c r="I5" s="52"/>
      <c r="J5" s="52" t="str">
        <f>G.P.A.!J5</f>
        <v>MUSLIM</v>
      </c>
      <c r="K5" s="52"/>
      <c r="L5" s="52" t="str">
        <f>G.P.A.!L5</f>
        <v>TOTAL</v>
      </c>
      <c r="M5" s="52"/>
      <c r="N5" s="52" t="str">
        <f>G.P.A.!N5</f>
        <v>GRAND TOTAL</v>
      </c>
      <c r="P5" s="6" t="str">
        <f>RESULT!BC1</f>
        <v>SC</v>
      </c>
      <c r="Q5" s="6">
        <f>RESULT!BD1</f>
        <v>0</v>
      </c>
      <c r="R5" s="6" t="str">
        <f>RESULT!BE1</f>
        <v>ST</v>
      </c>
      <c r="S5" s="6">
        <f>RESULT!BF1</f>
        <v>0</v>
      </c>
      <c r="T5" s="6" t="str">
        <f>RESULT!BG1</f>
        <v>BC</v>
      </c>
      <c r="U5" s="6">
        <f>RESULT!BH1</f>
        <v>0</v>
      </c>
      <c r="V5" s="6" t="str">
        <f>RESULT!BI1</f>
        <v>OC</v>
      </c>
      <c r="W5" s="6">
        <f>RESULT!BJ1</f>
        <v>0</v>
      </c>
      <c r="X5" s="6" t="str">
        <f>RESULT!BK1</f>
        <v>MUSLIM</v>
      </c>
      <c r="Y5" s="6">
        <f>RESULT!BL1</f>
        <v>0</v>
      </c>
      <c r="Z5" s="6" t="str">
        <f>RESULT!BM1</f>
        <v>TOTAL</v>
      </c>
      <c r="AA5" s="6">
        <f>RESULT!BN1</f>
        <v>0</v>
      </c>
      <c r="AB5" s="6" t="str">
        <f>RESULT!BO1</f>
        <v>GRAND TOTAL</v>
      </c>
    </row>
    <row r="6" spans="1:28">
      <c r="A6" s="52"/>
      <c r="B6" s="31" t="str">
        <f>G.P.A.!B6</f>
        <v>B</v>
      </c>
      <c r="C6" s="31" t="str">
        <f>G.P.A.!C6</f>
        <v>G</v>
      </c>
      <c r="D6" s="31" t="str">
        <f>G.P.A.!D6</f>
        <v>B</v>
      </c>
      <c r="E6" s="31" t="str">
        <f>G.P.A.!E6</f>
        <v>G</v>
      </c>
      <c r="F6" s="31" t="str">
        <f>G.P.A.!F6</f>
        <v>B</v>
      </c>
      <c r="G6" s="31" t="str">
        <f>G.P.A.!G6</f>
        <v>G</v>
      </c>
      <c r="H6" s="31" t="str">
        <f>G.P.A.!H6</f>
        <v>B</v>
      </c>
      <c r="I6" s="31" t="str">
        <f>G.P.A.!I6</f>
        <v>G</v>
      </c>
      <c r="J6" s="31" t="str">
        <f>G.P.A.!J6</f>
        <v>B</v>
      </c>
      <c r="K6" s="31" t="str">
        <f>G.P.A.!K6</f>
        <v>G</v>
      </c>
      <c r="L6" s="31" t="str">
        <f>G.P.A.!L6</f>
        <v>B</v>
      </c>
      <c r="M6" s="31" t="str">
        <f>G.P.A.!M6</f>
        <v>G</v>
      </c>
      <c r="N6" s="52"/>
      <c r="P6" s="6" t="str">
        <f>RESULT!BC2</f>
        <v>B</v>
      </c>
      <c r="Q6" s="6" t="str">
        <f>RESULT!BD2</f>
        <v>G</v>
      </c>
      <c r="R6" s="6" t="str">
        <f>RESULT!BE2</f>
        <v>B</v>
      </c>
      <c r="S6" s="6" t="str">
        <f>RESULT!BF2</f>
        <v>G</v>
      </c>
      <c r="T6" s="6" t="str">
        <f>RESULT!BG2</f>
        <v>B</v>
      </c>
      <c r="U6" s="6" t="str">
        <f>RESULT!BH2</f>
        <v>G</v>
      </c>
      <c r="V6" s="6" t="str">
        <f>RESULT!BI2</f>
        <v>B</v>
      </c>
      <c r="W6" s="6" t="str">
        <f>RESULT!BJ2</f>
        <v>G</v>
      </c>
      <c r="X6" s="6" t="str">
        <f>RESULT!BK2</f>
        <v>B</v>
      </c>
      <c r="Y6" s="6" t="str">
        <f>RESULT!BL2</f>
        <v>G</v>
      </c>
      <c r="Z6" s="6" t="str">
        <f>RESULT!BM2</f>
        <v>B</v>
      </c>
      <c r="AA6" s="6" t="str">
        <f>RESULT!BN2</f>
        <v>G</v>
      </c>
      <c r="AB6" s="6">
        <f>RESULT!BO2</f>
        <v>0</v>
      </c>
    </row>
    <row r="7" spans="1:28" ht="30">
      <c r="A7" s="31" t="str">
        <f>G.P.A.!A7</f>
        <v>ABOVE 9.5</v>
      </c>
      <c r="B7" s="31">
        <f>G.P.A.!B7</f>
        <v>0</v>
      </c>
      <c r="C7" s="31">
        <f>G.P.A.!C7</f>
        <v>0</v>
      </c>
      <c r="D7" s="42">
        <f>G.P.A.!D7</f>
        <v>0</v>
      </c>
      <c r="E7" s="42">
        <f>G.P.A.!E7</f>
        <v>0</v>
      </c>
      <c r="F7" s="31">
        <f>G.P.A.!F7</f>
        <v>0</v>
      </c>
      <c r="G7" s="31">
        <f>G.P.A.!G7</f>
        <v>0</v>
      </c>
      <c r="H7" s="31">
        <f>G.P.A.!H7</f>
        <v>0</v>
      </c>
      <c r="I7" s="31">
        <f>G.P.A.!I7</f>
        <v>0</v>
      </c>
      <c r="J7" s="31">
        <f>G.P.A.!J7</f>
        <v>0</v>
      </c>
      <c r="K7" s="31">
        <f>G.P.A.!K7</f>
        <v>0</v>
      </c>
      <c r="L7" s="31">
        <f>G.P.A.!L7</f>
        <v>0</v>
      </c>
      <c r="M7" s="31">
        <f>G.P.A.!M7</f>
        <v>0</v>
      </c>
      <c r="N7" s="31">
        <f>G.P.A.!N7</f>
        <v>0</v>
      </c>
      <c r="P7" s="6">
        <f>RESULT!BC3</f>
        <v>11</v>
      </c>
      <c r="Q7" s="6">
        <f>RESULT!BD3</f>
        <v>13</v>
      </c>
      <c r="R7" s="6">
        <f>RESULT!BE3</f>
        <v>0</v>
      </c>
      <c r="S7" s="6">
        <f>RESULT!BF3</f>
        <v>0</v>
      </c>
      <c r="T7" s="6">
        <f>RESULT!BG3</f>
        <v>13</v>
      </c>
      <c r="U7" s="6">
        <f>RESULT!BH3</f>
        <v>7</v>
      </c>
      <c r="V7" s="6">
        <f>RESULT!BI3</f>
        <v>1</v>
      </c>
      <c r="W7" s="6">
        <f>RESULT!BJ3</f>
        <v>0</v>
      </c>
      <c r="X7" s="6">
        <f>RESULT!BK3</f>
        <v>2</v>
      </c>
      <c r="Y7" s="6">
        <f>RESULT!BL3</f>
        <v>6</v>
      </c>
      <c r="Z7" s="6">
        <f>RESULT!BM3</f>
        <v>27</v>
      </c>
      <c r="AA7" s="6">
        <f>RESULT!BN3</f>
        <v>26</v>
      </c>
      <c r="AB7" s="6">
        <f>RESULT!BO3</f>
        <v>53</v>
      </c>
    </row>
    <row r="8" spans="1:28" ht="45">
      <c r="A8" s="31" t="str">
        <f>G.P.A.!A8</f>
        <v>BETWEEN 9.0 AND 9.5</v>
      </c>
      <c r="B8" s="31">
        <f>G.P.A.!B8</f>
        <v>0</v>
      </c>
      <c r="C8" s="31">
        <f>G.P.A.!C8</f>
        <v>0</v>
      </c>
      <c r="D8" s="42">
        <f>G.P.A.!D8</f>
        <v>0</v>
      </c>
      <c r="E8" s="42">
        <f>G.P.A.!E8</f>
        <v>0</v>
      </c>
      <c r="F8" s="31">
        <f>G.P.A.!F8</f>
        <v>0</v>
      </c>
      <c r="G8" s="31">
        <f>G.P.A.!G8</f>
        <v>0</v>
      </c>
      <c r="H8" s="31">
        <f>G.P.A.!H8</f>
        <v>0</v>
      </c>
      <c r="I8" s="31">
        <f>G.P.A.!I8</f>
        <v>0</v>
      </c>
      <c r="J8" s="31">
        <f>G.P.A.!J8</f>
        <v>0</v>
      </c>
      <c r="K8" s="31">
        <f>G.P.A.!K8</f>
        <v>0</v>
      </c>
      <c r="L8" s="31">
        <f>G.P.A.!L8</f>
        <v>0</v>
      </c>
      <c r="M8" s="31">
        <f>G.P.A.!M8</f>
        <v>0</v>
      </c>
      <c r="N8" s="31">
        <f>G.P.A.!N8</f>
        <v>0</v>
      </c>
    </row>
    <row r="9" spans="1:28" ht="45">
      <c r="A9" s="31" t="str">
        <f>G.P.A.!A9</f>
        <v>BETWEEN8.5 AND 9.0</v>
      </c>
      <c r="B9" s="31">
        <f>G.P.A.!B9</f>
        <v>0</v>
      </c>
      <c r="C9" s="31">
        <f>G.P.A.!C9</f>
        <v>0</v>
      </c>
      <c r="D9" s="42">
        <f>G.P.A.!D9</f>
        <v>0</v>
      </c>
      <c r="E9" s="42">
        <f>G.P.A.!E9</f>
        <v>0</v>
      </c>
      <c r="F9" s="31">
        <f>G.P.A.!F9</f>
        <v>0</v>
      </c>
      <c r="G9" s="31">
        <f>G.P.A.!G9</f>
        <v>0</v>
      </c>
      <c r="H9" s="31">
        <f>G.P.A.!H9</f>
        <v>0</v>
      </c>
      <c r="I9" s="31">
        <f>G.P.A.!I9</f>
        <v>0</v>
      </c>
      <c r="J9" s="31">
        <f>G.P.A.!J9</f>
        <v>0</v>
      </c>
      <c r="K9" s="31">
        <f>G.P.A.!K9</f>
        <v>0</v>
      </c>
      <c r="L9" s="31">
        <f>G.P.A.!L9</f>
        <v>0</v>
      </c>
      <c r="M9" s="31">
        <f>G.P.A.!M9</f>
        <v>0</v>
      </c>
      <c r="N9" s="31">
        <f>G.P.A.!N9</f>
        <v>0</v>
      </c>
    </row>
    <row r="10" spans="1:28" ht="45">
      <c r="A10" s="31" t="str">
        <f>G.P.A.!A10</f>
        <v>BETWEEN 8.0 AND 8.5</v>
      </c>
      <c r="B10" s="31">
        <f>G.P.A.!B10</f>
        <v>0</v>
      </c>
      <c r="C10" s="31">
        <f>G.P.A.!C10</f>
        <v>0</v>
      </c>
      <c r="D10" s="42">
        <f>G.P.A.!D10</f>
        <v>0</v>
      </c>
      <c r="E10" s="42">
        <f>G.P.A.!E10</f>
        <v>0</v>
      </c>
      <c r="F10" s="31">
        <f>G.P.A.!F10</f>
        <v>0</v>
      </c>
      <c r="G10" s="31">
        <f>G.P.A.!G10</f>
        <v>0</v>
      </c>
      <c r="H10" s="31">
        <f>G.P.A.!H10</f>
        <v>0</v>
      </c>
      <c r="I10" s="31">
        <f>G.P.A.!I10</f>
        <v>0</v>
      </c>
      <c r="J10" s="31">
        <f>G.P.A.!J10</f>
        <v>0</v>
      </c>
      <c r="K10" s="31">
        <f>G.P.A.!K10</f>
        <v>0</v>
      </c>
      <c r="L10" s="31">
        <f>G.P.A.!L10</f>
        <v>0</v>
      </c>
      <c r="M10" s="31">
        <f>G.P.A.!M10</f>
        <v>0</v>
      </c>
      <c r="N10" s="31">
        <f>G.P.A.!N10</f>
        <v>0</v>
      </c>
    </row>
    <row r="11" spans="1:28" ht="45">
      <c r="A11" s="31" t="str">
        <f>G.P.A.!A11</f>
        <v>BETWEEN 7.5 AND 8.0</v>
      </c>
      <c r="B11" s="31">
        <f>G.P.A.!B11</f>
        <v>0</v>
      </c>
      <c r="C11" s="31">
        <f>G.P.A.!C11</f>
        <v>0</v>
      </c>
      <c r="D11" s="42">
        <f>G.P.A.!D11</f>
        <v>0</v>
      </c>
      <c r="E11" s="42">
        <f>G.P.A.!E11</f>
        <v>0</v>
      </c>
      <c r="F11" s="31">
        <f>G.P.A.!F11</f>
        <v>0</v>
      </c>
      <c r="G11" s="31">
        <f>G.P.A.!G11</f>
        <v>0</v>
      </c>
      <c r="H11" s="31">
        <f>G.P.A.!H11</f>
        <v>0</v>
      </c>
      <c r="I11" s="31">
        <f>G.P.A.!I11</f>
        <v>0</v>
      </c>
      <c r="J11" s="31">
        <f>G.P.A.!J11</f>
        <v>0</v>
      </c>
      <c r="K11" s="31">
        <f>G.P.A.!K11</f>
        <v>0</v>
      </c>
      <c r="L11" s="31">
        <f>G.P.A.!L11</f>
        <v>0</v>
      </c>
      <c r="M11" s="31">
        <f>G.P.A.!M11</f>
        <v>0</v>
      </c>
      <c r="N11" s="31">
        <f>G.P.A.!N11</f>
        <v>0</v>
      </c>
    </row>
    <row r="12" spans="1:28" ht="45">
      <c r="A12" s="31" t="str">
        <f>G.P.A.!A12</f>
        <v>BETWEEN 7.0 AND 7.5</v>
      </c>
      <c r="B12" s="31">
        <f>G.P.A.!B12</f>
        <v>0</v>
      </c>
      <c r="C12" s="31">
        <f>G.P.A.!C12</f>
        <v>0</v>
      </c>
      <c r="D12" s="42">
        <f>G.P.A.!D12</f>
        <v>0</v>
      </c>
      <c r="E12" s="42">
        <f>G.P.A.!E12</f>
        <v>0</v>
      </c>
      <c r="F12" s="31">
        <f>G.P.A.!F12</f>
        <v>0</v>
      </c>
      <c r="G12" s="31">
        <f>G.P.A.!G12</f>
        <v>0</v>
      </c>
      <c r="H12" s="31">
        <f>G.P.A.!H12</f>
        <v>0</v>
      </c>
      <c r="I12" s="31">
        <f>G.P.A.!I12</f>
        <v>0</v>
      </c>
      <c r="J12" s="31">
        <f>G.P.A.!J12</f>
        <v>0</v>
      </c>
      <c r="K12" s="31">
        <f>G.P.A.!K12</f>
        <v>0</v>
      </c>
      <c r="L12" s="31">
        <f>G.P.A.!L12</f>
        <v>0</v>
      </c>
      <c r="M12" s="31">
        <f>G.P.A.!M12</f>
        <v>0</v>
      </c>
      <c r="N12" s="31">
        <f>G.P.A.!N12</f>
        <v>0</v>
      </c>
    </row>
    <row r="13" spans="1:28" ht="45">
      <c r="A13" s="31" t="str">
        <f>G.P.A.!A13</f>
        <v>BETWEEN 6.5 AND 7.0</v>
      </c>
      <c r="B13" s="31">
        <f>G.P.A.!B13</f>
        <v>0</v>
      </c>
      <c r="C13" s="31">
        <f>G.P.A.!C13</f>
        <v>0</v>
      </c>
      <c r="D13" s="42">
        <f>G.P.A.!D13</f>
        <v>0</v>
      </c>
      <c r="E13" s="42">
        <f>G.P.A.!E13</f>
        <v>0</v>
      </c>
      <c r="F13" s="31">
        <f>G.P.A.!F13</f>
        <v>0</v>
      </c>
      <c r="G13" s="31">
        <f>G.P.A.!G13</f>
        <v>0</v>
      </c>
      <c r="H13" s="31">
        <f>G.P.A.!H13</f>
        <v>0</v>
      </c>
      <c r="I13" s="31">
        <f>G.P.A.!I13</f>
        <v>0</v>
      </c>
      <c r="J13" s="31">
        <f>G.P.A.!J13</f>
        <v>0</v>
      </c>
      <c r="K13" s="31">
        <f>G.P.A.!K13</f>
        <v>0</v>
      </c>
      <c r="L13" s="31">
        <f>G.P.A.!L13</f>
        <v>0</v>
      </c>
      <c r="M13" s="31">
        <f>G.P.A.!M13</f>
        <v>0</v>
      </c>
      <c r="N13" s="31">
        <f>G.P.A.!N13</f>
        <v>0</v>
      </c>
    </row>
    <row r="14" spans="1:28" ht="45">
      <c r="A14" s="31" t="str">
        <f>G.P.A.!A14</f>
        <v>BETWEEN 6.0 AND 6.5</v>
      </c>
      <c r="B14" s="31">
        <f>G.P.A.!B14</f>
        <v>0</v>
      </c>
      <c r="C14" s="31">
        <f>G.P.A.!C14</f>
        <v>0</v>
      </c>
      <c r="D14" s="42">
        <f>G.P.A.!D14</f>
        <v>0</v>
      </c>
      <c r="E14" s="42">
        <f>G.P.A.!E14</f>
        <v>0</v>
      </c>
      <c r="F14" s="31">
        <f>G.P.A.!F14</f>
        <v>0</v>
      </c>
      <c r="G14" s="31">
        <f>G.P.A.!G14</f>
        <v>0</v>
      </c>
      <c r="H14" s="31">
        <f>G.P.A.!H14</f>
        <v>0</v>
      </c>
      <c r="I14" s="31">
        <f>G.P.A.!I14</f>
        <v>0</v>
      </c>
      <c r="J14" s="31">
        <f>G.P.A.!J14</f>
        <v>0</v>
      </c>
      <c r="K14" s="31">
        <f>G.P.A.!K14</f>
        <v>0</v>
      </c>
      <c r="L14" s="31">
        <f>G.P.A.!L14</f>
        <v>0</v>
      </c>
      <c r="M14" s="31">
        <f>G.P.A.!M14</f>
        <v>0</v>
      </c>
      <c r="N14" s="31">
        <f>G.P.A.!N14</f>
        <v>0</v>
      </c>
    </row>
    <row r="15" spans="1:28" ht="45">
      <c r="A15" s="31" t="str">
        <f>G.P.A.!A15</f>
        <v>BETWEEN 5.5 AND 6.0</v>
      </c>
      <c r="B15" s="31">
        <f>G.P.A.!B15</f>
        <v>0</v>
      </c>
      <c r="C15" s="31">
        <f>G.P.A.!C15</f>
        <v>0</v>
      </c>
      <c r="D15" s="42">
        <f>G.P.A.!D15</f>
        <v>0</v>
      </c>
      <c r="E15" s="42">
        <f>G.P.A.!E15</f>
        <v>0</v>
      </c>
      <c r="F15" s="31">
        <f>G.P.A.!F15</f>
        <v>0</v>
      </c>
      <c r="G15" s="31">
        <f>G.P.A.!G15</f>
        <v>0</v>
      </c>
      <c r="H15" s="31">
        <f>G.P.A.!H15</f>
        <v>0</v>
      </c>
      <c r="I15" s="31">
        <f>G.P.A.!I15</f>
        <v>0</v>
      </c>
      <c r="J15" s="31">
        <f>G.P.A.!J15</f>
        <v>0</v>
      </c>
      <c r="K15" s="31">
        <f>G.P.A.!K15</f>
        <v>0</v>
      </c>
      <c r="L15" s="31">
        <f>G.P.A.!L15</f>
        <v>0</v>
      </c>
      <c r="M15" s="31">
        <f>G.P.A.!M15</f>
        <v>0</v>
      </c>
      <c r="N15" s="31">
        <f>G.P.A.!N15</f>
        <v>0</v>
      </c>
    </row>
    <row r="16" spans="1:28" ht="45">
      <c r="A16" s="31" t="str">
        <f>G.P.A.!A16</f>
        <v>BETWEEN 5.0 AND 5.5</v>
      </c>
      <c r="B16" s="31">
        <f>G.P.A.!B16</f>
        <v>0</v>
      </c>
      <c r="C16" s="31">
        <f>G.P.A.!C16</f>
        <v>0</v>
      </c>
      <c r="D16" s="42">
        <f>G.P.A.!D16</f>
        <v>0</v>
      </c>
      <c r="E16" s="42">
        <f>G.P.A.!E16</f>
        <v>0</v>
      </c>
      <c r="F16" s="31">
        <f>G.P.A.!F16</f>
        <v>0</v>
      </c>
      <c r="G16" s="31">
        <f>G.P.A.!G16</f>
        <v>0</v>
      </c>
      <c r="H16" s="31">
        <f>G.P.A.!H16</f>
        <v>0</v>
      </c>
      <c r="I16" s="31">
        <f>G.P.A.!I16</f>
        <v>0</v>
      </c>
      <c r="J16" s="31">
        <f>G.P.A.!J16</f>
        <v>0</v>
      </c>
      <c r="K16" s="31">
        <f>G.P.A.!K16</f>
        <v>0</v>
      </c>
      <c r="L16" s="31">
        <f>G.P.A.!L16</f>
        <v>0</v>
      </c>
      <c r="M16" s="31">
        <f>G.P.A.!M16</f>
        <v>0</v>
      </c>
      <c r="N16" s="31">
        <f>G.P.A.!N16</f>
        <v>0</v>
      </c>
    </row>
    <row r="17" spans="1:14" ht="45">
      <c r="A17" s="31" t="str">
        <f>G.P.A.!A17</f>
        <v>BETWEEN 4.5 AND 5.0</v>
      </c>
      <c r="B17" s="31">
        <f>G.P.A.!B17</f>
        <v>0</v>
      </c>
      <c r="C17" s="31">
        <f>G.P.A.!C17</f>
        <v>0</v>
      </c>
      <c r="D17" s="42">
        <f>G.P.A.!D17</f>
        <v>0</v>
      </c>
      <c r="E17" s="42">
        <f>G.P.A.!E17</f>
        <v>0</v>
      </c>
      <c r="F17" s="31">
        <f>G.P.A.!F17</f>
        <v>0</v>
      </c>
      <c r="G17" s="31">
        <f>G.P.A.!G17</f>
        <v>0</v>
      </c>
      <c r="H17" s="31">
        <f>G.P.A.!H17</f>
        <v>0</v>
      </c>
      <c r="I17" s="31">
        <f>G.P.A.!I17</f>
        <v>0</v>
      </c>
      <c r="J17" s="31">
        <f>G.P.A.!J17</f>
        <v>0</v>
      </c>
      <c r="K17" s="31">
        <f>G.P.A.!K17</f>
        <v>0</v>
      </c>
      <c r="L17" s="31">
        <f>G.P.A.!L17</f>
        <v>0</v>
      </c>
      <c r="M17" s="31">
        <f>G.P.A.!M17</f>
        <v>0</v>
      </c>
      <c r="N17" s="31">
        <f>G.P.A.!N17</f>
        <v>0</v>
      </c>
    </row>
    <row r="18" spans="1:14" ht="45">
      <c r="A18" s="31" t="str">
        <f>G.P.A.!A18</f>
        <v>BETWEEN 4.0 AND 4.5</v>
      </c>
      <c r="B18" s="31">
        <f>G.P.A.!B18</f>
        <v>0</v>
      </c>
      <c r="C18" s="31">
        <f>G.P.A.!C18</f>
        <v>0</v>
      </c>
      <c r="D18" s="42">
        <f>G.P.A.!D18</f>
        <v>0</v>
      </c>
      <c r="E18" s="42">
        <f>G.P.A.!E18</f>
        <v>0</v>
      </c>
      <c r="F18" s="31">
        <f>G.P.A.!F18</f>
        <v>0</v>
      </c>
      <c r="G18" s="31">
        <f>G.P.A.!G18</f>
        <v>0</v>
      </c>
      <c r="H18" s="31">
        <f>G.P.A.!H18</f>
        <v>0</v>
      </c>
      <c r="I18" s="31">
        <f>G.P.A.!I18</f>
        <v>0</v>
      </c>
      <c r="J18" s="31">
        <f>G.P.A.!J18</f>
        <v>0</v>
      </c>
      <c r="K18" s="31">
        <f>G.P.A.!K18</f>
        <v>0</v>
      </c>
      <c r="L18" s="31">
        <f>G.P.A.!L18</f>
        <v>0</v>
      </c>
      <c r="M18" s="31">
        <f>G.P.A.!M18</f>
        <v>0</v>
      </c>
      <c r="N18" s="31">
        <f>G.P.A.!N18</f>
        <v>0</v>
      </c>
    </row>
    <row r="19" spans="1:14" ht="45">
      <c r="A19" s="31" t="str">
        <f>G.P.A.!A19</f>
        <v>BETWEEN 3.5 AND 4.0</v>
      </c>
      <c r="B19" s="31">
        <f>G.P.A.!B19</f>
        <v>0</v>
      </c>
      <c r="C19" s="31">
        <f>G.P.A.!C19</f>
        <v>0</v>
      </c>
      <c r="D19" s="42">
        <f>G.P.A.!D19</f>
        <v>0</v>
      </c>
      <c r="E19" s="42">
        <f>G.P.A.!E19</f>
        <v>0</v>
      </c>
      <c r="F19" s="31">
        <f>G.P.A.!F19</f>
        <v>0</v>
      </c>
      <c r="G19" s="31">
        <f>G.P.A.!G19</f>
        <v>0</v>
      </c>
      <c r="H19" s="31">
        <f>G.P.A.!H19</f>
        <v>0</v>
      </c>
      <c r="I19" s="31">
        <f>G.P.A.!I19</f>
        <v>0</v>
      </c>
      <c r="J19" s="31">
        <f>G.P.A.!J19</f>
        <v>0</v>
      </c>
      <c r="K19" s="31">
        <f>G.P.A.!K19</f>
        <v>0</v>
      </c>
      <c r="L19" s="31">
        <f>G.P.A.!L19</f>
        <v>0</v>
      </c>
      <c r="M19" s="31">
        <f>G.P.A.!M19</f>
        <v>0</v>
      </c>
      <c r="N19" s="31">
        <f>G.P.A.!N19</f>
        <v>0</v>
      </c>
    </row>
    <row r="20" spans="1:14" ht="45">
      <c r="A20" s="31" t="str">
        <f>G.P.A.!A20</f>
        <v>BETWEEN 3.0 AND 3.5</v>
      </c>
      <c r="B20" s="31">
        <f>G.P.A.!B20</f>
        <v>0</v>
      </c>
      <c r="C20" s="31">
        <f>G.P.A.!C20</f>
        <v>0</v>
      </c>
      <c r="D20" s="42">
        <f>G.P.A.!D20</f>
        <v>0</v>
      </c>
      <c r="E20" s="42">
        <f>G.P.A.!E20</f>
        <v>0</v>
      </c>
      <c r="F20" s="31">
        <f>G.P.A.!F20</f>
        <v>0</v>
      </c>
      <c r="G20" s="31">
        <f>G.P.A.!G20</f>
        <v>0</v>
      </c>
      <c r="H20" s="31">
        <f>G.P.A.!H20</f>
        <v>0</v>
      </c>
      <c r="I20" s="31">
        <f>G.P.A.!I20</f>
        <v>0</v>
      </c>
      <c r="J20" s="31">
        <f>G.P.A.!J20</f>
        <v>0</v>
      </c>
      <c r="K20" s="31">
        <f>G.P.A.!K20</f>
        <v>0</v>
      </c>
      <c r="L20" s="31">
        <f>G.P.A.!L20</f>
        <v>0</v>
      </c>
      <c r="M20" s="31">
        <f>G.P.A.!M20</f>
        <v>0</v>
      </c>
      <c r="N20" s="31">
        <f>G.P.A.!N20</f>
        <v>0</v>
      </c>
    </row>
    <row r="21" spans="1:14" ht="45">
      <c r="A21" s="31" t="str">
        <f>G.P.A.!A21</f>
        <v>BETWEEN 2.5 AND 3.0</v>
      </c>
      <c r="B21" s="31">
        <f>G.P.A.!B21</f>
        <v>0</v>
      </c>
      <c r="C21" s="31">
        <f>G.P.A.!C21</f>
        <v>0</v>
      </c>
      <c r="D21" s="42">
        <f>G.P.A.!D21</f>
        <v>0</v>
      </c>
      <c r="E21" s="42">
        <f>G.P.A.!E21</f>
        <v>0</v>
      </c>
      <c r="F21" s="31">
        <f>G.P.A.!F21</f>
        <v>0</v>
      </c>
      <c r="G21" s="31">
        <f>G.P.A.!G21</f>
        <v>0</v>
      </c>
      <c r="H21" s="31">
        <f>G.P.A.!H21</f>
        <v>0</v>
      </c>
      <c r="I21" s="31">
        <f>G.P.A.!I21</f>
        <v>0</v>
      </c>
      <c r="J21" s="31">
        <f>G.P.A.!J21</f>
        <v>0</v>
      </c>
      <c r="K21" s="31">
        <f>G.P.A.!K21</f>
        <v>0</v>
      </c>
      <c r="L21" s="31">
        <f>G.P.A.!L21</f>
        <v>0</v>
      </c>
      <c r="M21" s="31">
        <f>G.P.A.!M21</f>
        <v>0</v>
      </c>
      <c r="N21" s="31">
        <f>G.P.A.!N21</f>
        <v>0</v>
      </c>
    </row>
    <row r="22" spans="1:14" ht="45">
      <c r="A22" s="31" t="str">
        <f>G.P.A.!A22</f>
        <v>BETWEEN 2.0 AND 2.5</v>
      </c>
      <c r="B22" s="31">
        <f>G.P.A.!B22</f>
        <v>0</v>
      </c>
      <c r="C22" s="31">
        <f>G.P.A.!C22</f>
        <v>0</v>
      </c>
      <c r="D22" s="42">
        <f>G.P.A.!D22</f>
        <v>0</v>
      </c>
      <c r="E22" s="42">
        <f>G.P.A.!E22</f>
        <v>0</v>
      </c>
      <c r="F22" s="31">
        <f>G.P.A.!F22</f>
        <v>0</v>
      </c>
      <c r="G22" s="31">
        <f>G.P.A.!G22</f>
        <v>0</v>
      </c>
      <c r="H22" s="31">
        <f>G.P.A.!H22</f>
        <v>0</v>
      </c>
      <c r="I22" s="31">
        <f>G.P.A.!I22</f>
        <v>0</v>
      </c>
      <c r="J22" s="31">
        <f>G.P.A.!J22</f>
        <v>0</v>
      </c>
      <c r="K22" s="31">
        <f>G.P.A.!K22</f>
        <v>0</v>
      </c>
      <c r="L22" s="31">
        <f>G.P.A.!L22</f>
        <v>0</v>
      </c>
      <c r="M22" s="31">
        <f>G.P.A.!M22</f>
        <v>0</v>
      </c>
      <c r="N22" s="31">
        <f>G.P.A.!N22</f>
        <v>0</v>
      </c>
    </row>
    <row r="23" spans="1:14" ht="45">
      <c r="A23" s="31" t="str">
        <f>G.P.A.!A23</f>
        <v>BETWEEN 1.5 AND 2.0</v>
      </c>
      <c r="B23" s="31">
        <f>G.P.A.!B23</f>
        <v>0</v>
      </c>
      <c r="C23" s="31">
        <f>G.P.A.!C23</f>
        <v>0</v>
      </c>
      <c r="D23" s="42">
        <f>G.P.A.!D23</f>
        <v>0</v>
      </c>
      <c r="E23" s="42">
        <f>G.P.A.!E23</f>
        <v>0</v>
      </c>
      <c r="F23" s="31">
        <f>G.P.A.!F23</f>
        <v>0</v>
      </c>
      <c r="G23" s="31">
        <f>G.P.A.!G23</f>
        <v>0</v>
      </c>
      <c r="H23" s="31">
        <f>G.P.A.!H23</f>
        <v>0</v>
      </c>
      <c r="I23" s="31">
        <f>G.P.A.!I23</f>
        <v>0</v>
      </c>
      <c r="J23" s="31">
        <f>G.P.A.!J23</f>
        <v>0</v>
      </c>
      <c r="K23" s="31">
        <f>G.P.A.!K23</f>
        <v>0</v>
      </c>
      <c r="L23" s="31">
        <f>G.P.A.!L23</f>
        <v>0</v>
      </c>
      <c r="M23" s="31">
        <f>G.P.A.!M23</f>
        <v>0</v>
      </c>
      <c r="N23" s="31">
        <f>G.P.A.!N23</f>
        <v>0</v>
      </c>
    </row>
    <row r="24" spans="1:14" ht="45">
      <c r="A24" s="31" t="str">
        <f>G.P.A.!A24</f>
        <v>BETWEEN 1.0 AND 1.5</v>
      </c>
      <c r="B24" s="31">
        <f>G.P.A.!B24</f>
        <v>0</v>
      </c>
      <c r="C24" s="31">
        <f>G.P.A.!C24</f>
        <v>0</v>
      </c>
      <c r="D24" s="42">
        <f>G.P.A.!D24</f>
        <v>0</v>
      </c>
      <c r="E24" s="42">
        <f>G.P.A.!E24</f>
        <v>0</v>
      </c>
      <c r="F24" s="31">
        <f>G.P.A.!F24</f>
        <v>0</v>
      </c>
      <c r="G24" s="31">
        <f>G.P.A.!G24</f>
        <v>0</v>
      </c>
      <c r="H24" s="31">
        <f>G.P.A.!H24</f>
        <v>0</v>
      </c>
      <c r="I24" s="31">
        <f>G.P.A.!I24</f>
        <v>0</v>
      </c>
      <c r="J24" s="31">
        <f>G.P.A.!J24</f>
        <v>0</v>
      </c>
      <c r="K24" s="31">
        <f>G.P.A.!K24</f>
        <v>0</v>
      </c>
      <c r="L24" s="31">
        <f>G.P.A.!L24</f>
        <v>0</v>
      </c>
      <c r="M24" s="31">
        <f>G.P.A.!M24</f>
        <v>0</v>
      </c>
      <c r="N24" s="31">
        <f>G.P.A.!N24</f>
        <v>0</v>
      </c>
    </row>
    <row r="25" spans="1:14" ht="45">
      <c r="A25" s="31" t="str">
        <f>G.P.A.!A25</f>
        <v>BETWEEN 0.5 AND 1.0</v>
      </c>
      <c r="B25" s="31">
        <f>G.P.A.!B25</f>
        <v>0</v>
      </c>
      <c r="C25" s="31">
        <f>G.P.A.!C25</f>
        <v>0</v>
      </c>
      <c r="D25" s="42">
        <f>G.P.A.!D25</f>
        <v>0</v>
      </c>
      <c r="E25" s="42">
        <f>G.P.A.!E25</f>
        <v>0</v>
      </c>
      <c r="F25" s="31">
        <f>G.P.A.!F25</f>
        <v>0</v>
      </c>
      <c r="G25" s="31">
        <f>G.P.A.!G25</f>
        <v>0</v>
      </c>
      <c r="H25" s="31">
        <f>G.P.A.!H25</f>
        <v>0</v>
      </c>
      <c r="I25" s="31">
        <f>G.P.A.!I25</f>
        <v>0</v>
      </c>
      <c r="J25" s="31">
        <f>G.P.A.!J25</f>
        <v>0</v>
      </c>
      <c r="K25" s="31">
        <f>G.P.A.!K25</f>
        <v>0</v>
      </c>
      <c r="L25" s="31">
        <f>G.P.A.!L25</f>
        <v>0</v>
      </c>
      <c r="M25" s="31">
        <f>G.P.A.!M25</f>
        <v>0</v>
      </c>
      <c r="N25" s="31">
        <f>G.P.A.!N25</f>
        <v>0</v>
      </c>
    </row>
    <row r="26" spans="1:14" ht="45">
      <c r="A26" s="31" t="str">
        <f>G.P.A.!A26</f>
        <v>BETWEEN 0.0 AND 0.5</v>
      </c>
      <c r="B26" s="31">
        <f>G.P.A.!B26</f>
        <v>0</v>
      </c>
      <c r="C26" s="31">
        <f>G.P.A.!C26</f>
        <v>0</v>
      </c>
      <c r="D26" s="42">
        <f>G.P.A.!D26</f>
        <v>0</v>
      </c>
      <c r="E26" s="42">
        <f>G.P.A.!E26</f>
        <v>0</v>
      </c>
      <c r="F26" s="31">
        <f>G.P.A.!F26</f>
        <v>0</v>
      </c>
      <c r="G26" s="31">
        <f>G.P.A.!G26</f>
        <v>0</v>
      </c>
      <c r="H26" s="31">
        <f>G.P.A.!H26</f>
        <v>0</v>
      </c>
      <c r="I26" s="31">
        <f>G.P.A.!I26</f>
        <v>0</v>
      </c>
      <c r="J26" s="31">
        <f>G.P.A.!J26</f>
        <v>0</v>
      </c>
      <c r="K26" s="31">
        <f>G.P.A.!K26</f>
        <v>0</v>
      </c>
      <c r="L26" s="31">
        <f>G.P.A.!L26</f>
        <v>0</v>
      </c>
      <c r="M26" s="31">
        <f>G.P.A.!M26</f>
        <v>0</v>
      </c>
      <c r="N26" s="31">
        <f>G.P.A.!N26</f>
        <v>0</v>
      </c>
    </row>
    <row r="27" spans="1:14">
      <c r="A27" s="31" t="str">
        <f>G.P.A.!A27</f>
        <v>TOTAL</v>
      </c>
      <c r="B27" s="31">
        <f>G.P.A.!B27</f>
        <v>0</v>
      </c>
      <c r="C27" s="31">
        <f>G.P.A.!C27</f>
        <v>0</v>
      </c>
      <c r="D27" s="42">
        <f>G.P.A.!D27</f>
        <v>0</v>
      </c>
      <c r="E27" s="42">
        <f>G.P.A.!E27</f>
        <v>0</v>
      </c>
      <c r="F27" s="31">
        <f>G.P.A.!F27</f>
        <v>0</v>
      </c>
      <c r="G27" s="31">
        <f>G.P.A.!G27</f>
        <v>0</v>
      </c>
      <c r="H27" s="31">
        <f>G.P.A.!H27</f>
        <v>0</v>
      </c>
      <c r="I27" s="31">
        <f>G.P.A.!I27</f>
        <v>0</v>
      </c>
      <c r="J27" s="31">
        <f>G.P.A.!J27</f>
        <v>0</v>
      </c>
      <c r="K27" s="31">
        <f>G.P.A.!K27</f>
        <v>0</v>
      </c>
      <c r="L27" s="31">
        <f>G.P.A.!L27</f>
        <v>0</v>
      </c>
      <c r="M27" s="31">
        <f>G.P.A.!M27</f>
        <v>0</v>
      </c>
      <c r="N27" s="31">
        <f>G.P.A.!N27</f>
        <v>0</v>
      </c>
    </row>
  </sheetData>
  <mergeCells count="12">
    <mergeCell ref="J5:K5"/>
    <mergeCell ref="L5:M5"/>
    <mergeCell ref="A1:N1"/>
    <mergeCell ref="A2:N2"/>
    <mergeCell ref="A3:N3"/>
    <mergeCell ref="A4:N4"/>
    <mergeCell ref="A5:A6"/>
    <mergeCell ref="N5:N6"/>
    <mergeCell ref="B5:C5"/>
    <mergeCell ref="D5:E5"/>
    <mergeCell ref="F5:G5"/>
    <mergeCell ref="H5:I5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6"/>
  <sheetViews>
    <sheetView topLeftCell="A3" workbookViewId="0">
      <selection activeCell="I17" sqref="I17"/>
    </sheetView>
  </sheetViews>
  <sheetFormatPr defaultRowHeight="15"/>
  <cols>
    <col min="2" max="2" width="9.42578125" bestFit="1" customWidth="1"/>
    <col min="3" max="3" width="12" bestFit="1" customWidth="1"/>
    <col min="4" max="4" width="9.42578125" bestFit="1" customWidth="1"/>
    <col min="5" max="5" width="12" bestFit="1" customWidth="1"/>
    <col min="6" max="6" width="9.42578125" bestFit="1" customWidth="1"/>
    <col min="7" max="7" width="12" bestFit="1" customWidth="1"/>
    <col min="8" max="8" width="9.42578125" bestFit="1" customWidth="1"/>
    <col min="9" max="9" width="12" bestFit="1" customWidth="1"/>
    <col min="10" max="10" width="9.42578125" bestFit="1" customWidth="1"/>
    <col min="11" max="11" width="12" bestFit="1" customWidth="1"/>
    <col min="12" max="12" width="9.42578125" bestFit="1" customWidth="1"/>
    <col min="13" max="13" width="12" bestFit="1" customWidth="1"/>
    <col min="14" max="14" width="9.42578125" bestFit="1" customWidth="1"/>
    <col min="15" max="15" width="12" bestFit="1" customWidth="1"/>
    <col min="16" max="16" width="9.42578125" bestFit="1" customWidth="1"/>
    <col min="17" max="17" width="12" bestFit="1" customWidth="1"/>
    <col min="18" max="18" width="9.42578125" bestFit="1" customWidth="1"/>
    <col min="19" max="19" width="12" bestFit="1" customWidth="1"/>
    <col min="20" max="20" width="9.42578125" bestFit="1" customWidth="1"/>
    <col min="21" max="21" width="12" bestFit="1" customWidth="1"/>
    <col min="22" max="22" width="6" customWidth="1"/>
    <col min="23" max="23" width="12" bestFit="1" customWidth="1"/>
    <col min="24" max="24" width="6" customWidth="1"/>
    <col min="25" max="25" width="12" bestFit="1" customWidth="1"/>
    <col min="26" max="26" width="19.140625" bestFit="1" customWidth="1"/>
    <col min="27" max="27" width="12" bestFit="1" customWidth="1"/>
  </cols>
  <sheetData>
    <row r="1" spans="1:42" ht="23.25">
      <c r="A1" s="58" t="str">
        <f>GRADES!A1</f>
        <v>DANAVAIPETA MUNICIPAL CORPORATION HIGH SCHOOL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34">
        <f>'GPA%'!$O$1</f>
        <v>53</v>
      </c>
    </row>
    <row r="2" spans="1:42" ht="23.25">
      <c r="A2" s="58" t="str">
        <f>GRADES!A2</f>
        <v>BI-PASS ROAD,                                                RAJAHMUNDRY</v>
      </c>
      <c r="B2" s="58">
        <f>GRADES!B2</f>
        <v>0</v>
      </c>
      <c r="C2" s="58"/>
      <c r="D2" s="58">
        <f>GRADES!C2</f>
        <v>0</v>
      </c>
      <c r="E2" s="58"/>
      <c r="F2" s="58">
        <f>GRADES!D2</f>
        <v>0</v>
      </c>
      <c r="G2" s="58"/>
      <c r="H2" s="58">
        <f>GRADES!E2</f>
        <v>0</v>
      </c>
      <c r="I2" s="58"/>
      <c r="J2" s="58">
        <f>GRADES!F2</f>
        <v>0</v>
      </c>
      <c r="K2" s="58"/>
      <c r="L2" s="58">
        <f>GRADES!G2</f>
        <v>0</v>
      </c>
      <c r="M2" s="58"/>
      <c r="N2" s="58">
        <f>GRADES!H2</f>
        <v>0</v>
      </c>
      <c r="O2" s="58"/>
      <c r="P2" s="58">
        <f>GRADES!I2</f>
        <v>0</v>
      </c>
      <c r="Q2" s="58"/>
      <c r="R2" s="58">
        <f>GRADES!J2</f>
        <v>0</v>
      </c>
      <c r="S2" s="58"/>
      <c r="T2" s="58">
        <f>GRADES!K2</f>
        <v>0</v>
      </c>
      <c r="U2" s="58"/>
      <c r="V2" s="58">
        <f>GRADES!L2</f>
        <v>0</v>
      </c>
      <c r="W2" s="58"/>
      <c r="X2" s="58">
        <f>GRADES!M2</f>
        <v>0</v>
      </c>
      <c r="Y2" s="58"/>
      <c r="Z2" s="58">
        <f>GRADES!N2</f>
        <v>0</v>
      </c>
      <c r="AA2" s="58"/>
      <c r="AB2" s="35"/>
    </row>
    <row r="3" spans="1:42" ht="23.25">
      <c r="A3" s="58" t="str">
        <f>GRADES!A3</f>
        <v>S.S.C. PUBLIC EXAMINATIONS,          MARCH / APRIL 2015</v>
      </c>
      <c r="B3" s="58">
        <f>GRADES!B3</f>
        <v>0</v>
      </c>
      <c r="C3" s="58"/>
      <c r="D3" s="58">
        <f>GRADES!C3</f>
        <v>0</v>
      </c>
      <c r="E3" s="58"/>
      <c r="F3" s="58">
        <f>GRADES!D3</f>
        <v>0</v>
      </c>
      <c r="G3" s="58"/>
      <c r="H3" s="58">
        <f>GRADES!E3</f>
        <v>0</v>
      </c>
      <c r="I3" s="58"/>
      <c r="J3" s="58">
        <f>GRADES!F3</f>
        <v>0</v>
      </c>
      <c r="K3" s="58"/>
      <c r="L3" s="58">
        <f>GRADES!G3</f>
        <v>0</v>
      </c>
      <c r="M3" s="58"/>
      <c r="N3" s="58">
        <f>GRADES!H3</f>
        <v>0</v>
      </c>
      <c r="O3" s="58"/>
      <c r="P3" s="58">
        <f>GRADES!I3</f>
        <v>0</v>
      </c>
      <c r="Q3" s="58"/>
      <c r="R3" s="58">
        <f>GRADES!J3</f>
        <v>0</v>
      </c>
      <c r="S3" s="58"/>
      <c r="T3" s="58">
        <f>GRADES!K3</f>
        <v>0</v>
      </c>
      <c r="U3" s="58"/>
      <c r="V3" s="58">
        <f>GRADES!L3</f>
        <v>0</v>
      </c>
      <c r="W3" s="58"/>
      <c r="X3" s="58">
        <f>GRADES!M3</f>
        <v>0</v>
      </c>
      <c r="Y3" s="58"/>
      <c r="Z3" s="58">
        <f>GRADES!N3</f>
        <v>0</v>
      </c>
      <c r="AA3" s="58"/>
      <c r="AB3" s="35"/>
    </row>
    <row r="4" spans="1:42" ht="23.25">
      <c r="A4" s="58" t="str">
        <f>GRADES!A4</f>
        <v>R  E  S  U  L  T  S</v>
      </c>
      <c r="B4" s="58">
        <f>GRADES!B4</f>
        <v>0</v>
      </c>
      <c r="C4" s="58"/>
      <c r="D4" s="58">
        <f>GRADES!C4</f>
        <v>0</v>
      </c>
      <c r="E4" s="58"/>
      <c r="F4" s="58">
        <f>GRADES!D4</f>
        <v>0</v>
      </c>
      <c r="G4" s="58"/>
      <c r="H4" s="58">
        <f>GRADES!E4</f>
        <v>0</v>
      </c>
      <c r="I4" s="58"/>
      <c r="J4" s="58">
        <f>GRADES!F4</f>
        <v>0</v>
      </c>
      <c r="K4" s="58"/>
      <c r="L4" s="58">
        <f>GRADES!G4</f>
        <v>0</v>
      </c>
      <c r="M4" s="58"/>
      <c r="N4" s="58">
        <f>GRADES!H4</f>
        <v>0</v>
      </c>
      <c r="O4" s="58"/>
      <c r="P4" s="58">
        <f>GRADES!I4</f>
        <v>0</v>
      </c>
      <c r="Q4" s="58"/>
      <c r="R4" s="58">
        <f>GRADES!J4</f>
        <v>0</v>
      </c>
      <c r="S4" s="58"/>
      <c r="T4" s="58">
        <f>GRADES!K4</f>
        <v>0</v>
      </c>
      <c r="U4" s="58"/>
      <c r="V4" s="58">
        <f>GRADES!L4</f>
        <v>0</v>
      </c>
      <c r="W4" s="58"/>
      <c r="X4" s="58">
        <f>GRADES!M4</f>
        <v>0</v>
      </c>
      <c r="Y4" s="58"/>
      <c r="Z4" s="58">
        <f>GRADES!N4</f>
        <v>0</v>
      </c>
      <c r="AA4" s="58"/>
      <c r="AB4" s="35"/>
    </row>
    <row r="5" spans="1:42" ht="21">
      <c r="A5" s="59" t="str">
        <f>GRADES!A5</f>
        <v>GRADE</v>
      </c>
      <c r="B5" s="59" t="str">
        <f>GRADES!B5</f>
        <v>SC</v>
      </c>
      <c r="C5" s="59"/>
      <c r="D5" s="59"/>
      <c r="E5" s="59"/>
      <c r="F5" s="59" t="str">
        <f>GRADES!D5</f>
        <v>ST</v>
      </c>
      <c r="G5" s="59"/>
      <c r="H5" s="59"/>
      <c r="I5" s="59"/>
      <c r="J5" s="59" t="str">
        <f>GRADES!F5</f>
        <v>BC</v>
      </c>
      <c r="K5" s="59"/>
      <c r="L5" s="59"/>
      <c r="M5" s="59"/>
      <c r="N5" s="59" t="str">
        <f>GRADES!H5</f>
        <v>OC</v>
      </c>
      <c r="O5" s="59"/>
      <c r="P5" s="59"/>
      <c r="Q5" s="59"/>
      <c r="R5" s="59" t="str">
        <f>GRADES!J5</f>
        <v>MUSLIM</v>
      </c>
      <c r="S5" s="59"/>
      <c r="T5" s="59"/>
      <c r="U5" s="59"/>
      <c r="V5" s="57" t="str">
        <f>GRADES!L5</f>
        <v>TOTAL</v>
      </c>
      <c r="W5" s="57"/>
      <c r="X5" s="57"/>
      <c r="Y5" s="57"/>
      <c r="Z5" s="57" t="str">
        <f>GRADES!N5</f>
        <v>GRAND TOTAL</v>
      </c>
      <c r="AA5" s="57"/>
      <c r="AB5" s="35"/>
    </row>
    <row r="6" spans="1:42" ht="21">
      <c r="A6" s="59"/>
      <c r="B6" s="36" t="str">
        <f>GRADES!B6</f>
        <v>B</v>
      </c>
      <c r="C6" s="36" t="s">
        <v>49</v>
      </c>
      <c r="D6" s="36" t="str">
        <f>GRADES!C6</f>
        <v>G</v>
      </c>
      <c r="E6" s="36" t="s">
        <v>49</v>
      </c>
      <c r="F6" s="36" t="str">
        <f>GRADES!D6</f>
        <v>B</v>
      </c>
      <c r="G6" s="36" t="s">
        <v>49</v>
      </c>
      <c r="H6" s="36" t="str">
        <f>GRADES!E6</f>
        <v>G</v>
      </c>
      <c r="I6" s="36" t="s">
        <v>49</v>
      </c>
      <c r="J6" s="36" t="str">
        <f>GRADES!F6</f>
        <v>B</v>
      </c>
      <c r="K6" s="36" t="s">
        <v>49</v>
      </c>
      <c r="L6" s="36" t="str">
        <f>GRADES!G6</f>
        <v>G</v>
      </c>
      <c r="M6" s="36" t="s">
        <v>49</v>
      </c>
      <c r="N6" s="36" t="str">
        <f>GRADES!H6</f>
        <v>B</v>
      </c>
      <c r="O6" s="36" t="s">
        <v>49</v>
      </c>
      <c r="P6" s="36" t="str">
        <f>GRADES!I6</f>
        <v>G</v>
      </c>
      <c r="Q6" s="36" t="s">
        <v>49</v>
      </c>
      <c r="R6" s="36" t="str">
        <f>GRADES!J6</f>
        <v>B</v>
      </c>
      <c r="S6" s="36" t="s">
        <v>49</v>
      </c>
      <c r="T6" s="36" t="str">
        <f>GRADES!K6</f>
        <v>G</v>
      </c>
      <c r="U6" s="36" t="s">
        <v>49</v>
      </c>
      <c r="V6" s="37" t="s">
        <v>8</v>
      </c>
      <c r="W6" s="37" t="s">
        <v>49</v>
      </c>
      <c r="X6" s="37" t="s">
        <v>20</v>
      </c>
      <c r="Y6" s="37" t="s">
        <v>49</v>
      </c>
      <c r="Z6" s="37"/>
      <c r="AA6" s="37" t="s">
        <v>49</v>
      </c>
      <c r="AB6" s="35"/>
      <c r="AD6" s="56" t="str">
        <f>RESULT!BC1</f>
        <v>SC</v>
      </c>
      <c r="AE6" s="56"/>
      <c r="AF6" s="56" t="str">
        <f>RESULT!BE1</f>
        <v>ST</v>
      </c>
      <c r="AG6" s="56"/>
      <c r="AH6" s="56" t="str">
        <f>RESULT!BG1</f>
        <v>BC</v>
      </c>
      <c r="AI6" s="56"/>
      <c r="AJ6" s="56" t="str">
        <f>RESULT!BI1</f>
        <v>OC</v>
      </c>
      <c r="AK6" s="56"/>
      <c r="AL6" s="56" t="str">
        <f>RESULT!BK1</f>
        <v>MUSLIM</v>
      </c>
      <c r="AM6" s="56"/>
      <c r="AN6" s="56" t="str">
        <f>RESULT!BM1</f>
        <v>TOTAL</v>
      </c>
      <c r="AO6" s="56"/>
      <c r="AP6" t="str">
        <f>RESULT!BO1</f>
        <v>GRAND TOTAL</v>
      </c>
    </row>
    <row r="7" spans="1:42" ht="21">
      <c r="A7" s="36" t="str">
        <f>GRADES!A7</f>
        <v>A+</v>
      </c>
      <c r="B7" s="36">
        <f>GRADES!B7</f>
        <v>0</v>
      </c>
      <c r="C7" s="38">
        <f>B7/AD8</f>
        <v>0</v>
      </c>
      <c r="D7" s="36">
        <f>GRADES!C7</f>
        <v>0</v>
      </c>
      <c r="E7" s="38">
        <f>D7/AE8</f>
        <v>0</v>
      </c>
      <c r="F7" s="40">
        <f>GRADES!D7</f>
        <v>15</v>
      </c>
      <c r="G7" s="41" t="e">
        <f>F7/AF8</f>
        <v>#DIV/0!</v>
      </c>
      <c r="H7" s="40">
        <f>GRADES!E7</f>
        <v>0</v>
      </c>
      <c r="I7" s="41" t="e">
        <f>H7/AG8</f>
        <v>#DIV/0!</v>
      </c>
      <c r="J7" s="36">
        <f>GRADES!F7</f>
        <v>0</v>
      </c>
      <c r="K7" s="38">
        <f>J7/AH8</f>
        <v>0</v>
      </c>
      <c r="L7" s="36">
        <f>GRADES!G7</f>
        <v>0</v>
      </c>
      <c r="M7" s="38">
        <f>L7/AI8</f>
        <v>0</v>
      </c>
      <c r="N7" s="36">
        <f>GRADES!H7</f>
        <v>0</v>
      </c>
      <c r="O7" s="38">
        <f>N7/AJ8</f>
        <v>0</v>
      </c>
      <c r="P7" s="36">
        <f>GRADES!I7</f>
        <v>0</v>
      </c>
      <c r="Q7" s="38" t="e">
        <f>P7/AK8</f>
        <v>#DIV/0!</v>
      </c>
      <c r="R7" s="36">
        <f>GRADES!J7</f>
        <v>0</v>
      </c>
      <c r="S7" s="38">
        <f>R7/AL8</f>
        <v>0</v>
      </c>
      <c r="T7" s="36">
        <f>GRADES!K7</f>
        <v>0</v>
      </c>
      <c r="U7" s="38">
        <f>T7/AM8</f>
        <v>0</v>
      </c>
      <c r="V7" s="37">
        <f>GRADES!L7</f>
        <v>15</v>
      </c>
      <c r="W7" s="39">
        <f>V7/AN8</f>
        <v>0.55555555555555558</v>
      </c>
      <c r="X7" s="37">
        <f>GRADES!M7</f>
        <v>0</v>
      </c>
      <c r="Y7" s="39">
        <f>X7/AO8</f>
        <v>0</v>
      </c>
      <c r="Z7" s="37">
        <f>GRADES!N7</f>
        <v>15</v>
      </c>
      <c r="AA7" s="39">
        <f>Z7/AP8</f>
        <v>0.28301886792452829</v>
      </c>
      <c r="AB7" s="35"/>
      <c r="AD7" t="str">
        <f>RESULT!BC2</f>
        <v>B</v>
      </c>
      <c r="AE7" t="str">
        <f>RESULT!BD2</f>
        <v>G</v>
      </c>
      <c r="AF7" t="str">
        <f>RESULT!BE2</f>
        <v>B</v>
      </c>
      <c r="AG7" t="str">
        <f>RESULT!BF2</f>
        <v>G</v>
      </c>
      <c r="AH7" t="str">
        <f>RESULT!BG2</f>
        <v>B</v>
      </c>
      <c r="AI7" t="str">
        <f>RESULT!BH2</f>
        <v>G</v>
      </c>
      <c r="AJ7" t="str">
        <f>RESULT!BI2</f>
        <v>B</v>
      </c>
      <c r="AK7" t="str">
        <f>RESULT!BJ2</f>
        <v>G</v>
      </c>
      <c r="AL7" t="str">
        <f>RESULT!BK2</f>
        <v>B</v>
      </c>
      <c r="AM7" t="str">
        <f>RESULT!BL2</f>
        <v>G</v>
      </c>
      <c r="AN7" t="str">
        <f>RESULT!BM2</f>
        <v>B</v>
      </c>
      <c r="AO7" t="str">
        <f>RESULT!BN2</f>
        <v>G</v>
      </c>
      <c r="AP7">
        <f>RESULT!BO2</f>
        <v>0</v>
      </c>
    </row>
    <row r="8" spans="1:42" ht="21">
      <c r="A8" s="36" t="str">
        <f>GRADES!A8</f>
        <v xml:space="preserve">A </v>
      </c>
      <c r="B8" s="36">
        <f>GRADES!B8</f>
        <v>0</v>
      </c>
      <c r="C8" s="38">
        <f>B8/AD8</f>
        <v>0</v>
      </c>
      <c r="D8" s="36">
        <f>GRADES!C8</f>
        <v>0</v>
      </c>
      <c r="E8" s="38">
        <f>D8/AE8</f>
        <v>0</v>
      </c>
      <c r="F8" s="40">
        <f>GRADES!D8</f>
        <v>0</v>
      </c>
      <c r="G8" s="41" t="e">
        <f>F8/AF8</f>
        <v>#DIV/0!</v>
      </c>
      <c r="H8" s="40">
        <f>GRADES!E8</f>
        <v>0</v>
      </c>
      <c r="I8" s="41" t="e">
        <f>H8/AG8</f>
        <v>#DIV/0!</v>
      </c>
      <c r="J8" s="36">
        <f>GRADES!F8</f>
        <v>0</v>
      </c>
      <c r="K8" s="38">
        <f>J8/AH8</f>
        <v>0</v>
      </c>
      <c r="L8" s="36">
        <f>GRADES!G8</f>
        <v>0</v>
      </c>
      <c r="M8" s="38">
        <f>L8/AI8</f>
        <v>0</v>
      </c>
      <c r="N8" s="36">
        <f>GRADES!H8</f>
        <v>0</v>
      </c>
      <c r="O8" s="38">
        <f>N8/AJ8</f>
        <v>0</v>
      </c>
      <c r="P8" s="36">
        <f>GRADES!I8</f>
        <v>0</v>
      </c>
      <c r="Q8" s="38" t="e">
        <f>P8/AK8</f>
        <v>#DIV/0!</v>
      </c>
      <c r="R8" s="36">
        <f>GRADES!J8</f>
        <v>0</v>
      </c>
      <c r="S8" s="38">
        <f>R8/AL8</f>
        <v>0</v>
      </c>
      <c r="T8" s="36">
        <f>GRADES!K8</f>
        <v>0</v>
      </c>
      <c r="U8" s="38">
        <f>T8/AM8</f>
        <v>0</v>
      </c>
      <c r="V8" s="37">
        <f>GRADES!L8</f>
        <v>0</v>
      </c>
      <c r="W8" s="39">
        <f>V8/AN8</f>
        <v>0</v>
      </c>
      <c r="X8" s="37">
        <f>GRADES!M8</f>
        <v>0</v>
      </c>
      <c r="Y8" s="39">
        <f>X8/AO8</f>
        <v>0</v>
      </c>
      <c r="Z8" s="37">
        <f>GRADES!N8</f>
        <v>0</v>
      </c>
      <c r="AA8" s="39">
        <f>Z8/AP8</f>
        <v>0</v>
      </c>
      <c r="AB8" s="35"/>
      <c r="AD8">
        <f>RESULT!BC3</f>
        <v>11</v>
      </c>
      <c r="AE8">
        <f>RESULT!BD3</f>
        <v>13</v>
      </c>
      <c r="AF8">
        <f>RESULT!BE3</f>
        <v>0</v>
      </c>
      <c r="AG8">
        <f>RESULT!BF3</f>
        <v>0</v>
      </c>
      <c r="AH8">
        <f>RESULT!BG3</f>
        <v>13</v>
      </c>
      <c r="AI8">
        <f>RESULT!BH3</f>
        <v>7</v>
      </c>
      <c r="AJ8">
        <f>RESULT!BI3</f>
        <v>1</v>
      </c>
      <c r="AK8">
        <f>RESULT!BJ3</f>
        <v>0</v>
      </c>
      <c r="AL8">
        <f>RESULT!BK3</f>
        <v>2</v>
      </c>
      <c r="AM8">
        <f>RESULT!BL3</f>
        <v>6</v>
      </c>
      <c r="AN8">
        <f>RESULT!BM3</f>
        <v>27</v>
      </c>
      <c r="AO8">
        <f>RESULT!BN3</f>
        <v>26</v>
      </c>
      <c r="AP8">
        <f>RESULT!BO3</f>
        <v>53</v>
      </c>
    </row>
    <row r="9" spans="1:42" ht="21">
      <c r="A9" s="36" t="str">
        <f>GRADES!A9</f>
        <v>B+</v>
      </c>
      <c r="B9" s="36">
        <f>GRADES!B9</f>
        <v>0</v>
      </c>
      <c r="C9" s="38">
        <f>B9/AD8</f>
        <v>0</v>
      </c>
      <c r="D9" s="36">
        <f>GRADES!C9</f>
        <v>0</v>
      </c>
      <c r="E9" s="38">
        <f>D9/AE8</f>
        <v>0</v>
      </c>
      <c r="F9" s="40">
        <f>GRADES!D9</f>
        <v>0</v>
      </c>
      <c r="G9" s="41" t="e">
        <f>F9/AF8</f>
        <v>#DIV/0!</v>
      </c>
      <c r="H9" s="40">
        <f>GRADES!E9</f>
        <v>0</v>
      </c>
      <c r="I9" s="41" t="e">
        <f>H9/AG8</f>
        <v>#DIV/0!</v>
      </c>
      <c r="J9" s="36">
        <f>GRADES!F9</f>
        <v>0</v>
      </c>
      <c r="K9" s="38">
        <f>J9/AH8</f>
        <v>0</v>
      </c>
      <c r="L9" s="36">
        <f>GRADES!G9</f>
        <v>0</v>
      </c>
      <c r="M9" s="38">
        <f>L9/AI8</f>
        <v>0</v>
      </c>
      <c r="N9" s="36">
        <f>GRADES!H9</f>
        <v>0</v>
      </c>
      <c r="O9" s="38">
        <f>N9/AJ8</f>
        <v>0</v>
      </c>
      <c r="P9" s="36">
        <f>GRADES!I9</f>
        <v>0</v>
      </c>
      <c r="Q9" s="38" t="e">
        <f>P9/AK8</f>
        <v>#DIV/0!</v>
      </c>
      <c r="R9" s="36">
        <f>GRADES!J9</f>
        <v>0</v>
      </c>
      <c r="S9" s="38">
        <f>R9/AL8</f>
        <v>0</v>
      </c>
      <c r="T9" s="36">
        <f>GRADES!K9</f>
        <v>0</v>
      </c>
      <c r="U9" s="38">
        <f>T9/AM8</f>
        <v>0</v>
      </c>
      <c r="V9" s="37">
        <f>GRADES!L9</f>
        <v>0</v>
      </c>
      <c r="W9" s="39">
        <f>V9/AN8</f>
        <v>0</v>
      </c>
      <c r="X9" s="37">
        <f>GRADES!M9</f>
        <v>0</v>
      </c>
      <c r="Y9" s="39">
        <f>X9/AO8</f>
        <v>0</v>
      </c>
      <c r="Z9" s="37">
        <f>GRADES!N9</f>
        <v>0</v>
      </c>
      <c r="AA9" s="39">
        <f>Z9/AP8</f>
        <v>0</v>
      </c>
      <c r="AB9" s="35"/>
    </row>
    <row r="10" spans="1:42" ht="21">
      <c r="A10" s="36" t="str">
        <f>GRADES!A10</f>
        <v xml:space="preserve">B </v>
      </c>
      <c r="B10" s="36">
        <f>GRADES!B10</f>
        <v>0</v>
      </c>
      <c r="C10" s="38">
        <f>B10/AD8</f>
        <v>0</v>
      </c>
      <c r="D10" s="36">
        <f>GRADES!C10</f>
        <v>0</v>
      </c>
      <c r="E10" s="38">
        <f>D10/AE8</f>
        <v>0</v>
      </c>
      <c r="F10" s="40">
        <f>GRADES!D10</f>
        <v>0</v>
      </c>
      <c r="G10" s="41" t="e">
        <f>F10/AF8</f>
        <v>#DIV/0!</v>
      </c>
      <c r="H10" s="40">
        <f>GRADES!E10</f>
        <v>0</v>
      </c>
      <c r="I10" s="41" t="e">
        <f>H10/AG8</f>
        <v>#DIV/0!</v>
      </c>
      <c r="J10" s="36">
        <f>GRADES!F10</f>
        <v>0</v>
      </c>
      <c r="K10" s="38">
        <f>J10/AH8</f>
        <v>0</v>
      </c>
      <c r="L10" s="36">
        <f>GRADES!G10</f>
        <v>0</v>
      </c>
      <c r="M10" s="38">
        <f>L10/AI8</f>
        <v>0</v>
      </c>
      <c r="N10" s="36">
        <f>GRADES!H10</f>
        <v>0</v>
      </c>
      <c r="O10" s="38">
        <f>N10/AJ8</f>
        <v>0</v>
      </c>
      <c r="P10" s="36">
        <f>GRADES!I10</f>
        <v>0</v>
      </c>
      <c r="Q10" s="38" t="e">
        <f>P10/AK8</f>
        <v>#DIV/0!</v>
      </c>
      <c r="R10" s="36">
        <f>GRADES!J10</f>
        <v>0</v>
      </c>
      <c r="S10" s="38">
        <f>R10/AL8</f>
        <v>0</v>
      </c>
      <c r="T10" s="36">
        <f>GRADES!K10</f>
        <v>0</v>
      </c>
      <c r="U10" s="38">
        <f>T10/AM8</f>
        <v>0</v>
      </c>
      <c r="V10" s="37">
        <f>GRADES!L10</f>
        <v>0</v>
      </c>
      <c r="W10" s="39">
        <f>V10/AN8</f>
        <v>0</v>
      </c>
      <c r="X10" s="37">
        <f>GRADES!M10</f>
        <v>0</v>
      </c>
      <c r="Y10" s="39">
        <f>X10/AO8</f>
        <v>0</v>
      </c>
      <c r="Z10" s="37">
        <f>GRADES!N10</f>
        <v>0</v>
      </c>
      <c r="AA10" s="39">
        <f>Z10/AP8</f>
        <v>0</v>
      </c>
      <c r="AB10" s="35"/>
    </row>
    <row r="11" spans="1:42" ht="21">
      <c r="A11" s="36" t="str">
        <f>GRADES!A11</f>
        <v>C+</v>
      </c>
      <c r="B11" s="36">
        <f>GRADES!B11</f>
        <v>0</v>
      </c>
      <c r="C11" s="38">
        <f>B11/AD8</f>
        <v>0</v>
      </c>
      <c r="D11" s="36">
        <f>GRADES!C11</f>
        <v>0</v>
      </c>
      <c r="E11" s="38">
        <f>D11/AE8</f>
        <v>0</v>
      </c>
      <c r="F11" s="40">
        <f>GRADES!D11</f>
        <v>0</v>
      </c>
      <c r="G11" s="41" t="e">
        <f>F11/AF8</f>
        <v>#DIV/0!</v>
      </c>
      <c r="H11" s="40">
        <f>GRADES!E11</f>
        <v>0</v>
      </c>
      <c r="I11" s="41" t="e">
        <f>H11/AG8</f>
        <v>#DIV/0!</v>
      </c>
      <c r="J11" s="36">
        <f>GRADES!F11</f>
        <v>0</v>
      </c>
      <c r="K11" s="38">
        <f>J11/AH8</f>
        <v>0</v>
      </c>
      <c r="L11" s="36">
        <f>GRADES!G11</f>
        <v>0</v>
      </c>
      <c r="M11" s="38">
        <f>L11/AI8</f>
        <v>0</v>
      </c>
      <c r="N11" s="36">
        <f>GRADES!H11</f>
        <v>0</v>
      </c>
      <c r="O11" s="38">
        <f>N11/AJ8</f>
        <v>0</v>
      </c>
      <c r="P11" s="36">
        <f>GRADES!I11</f>
        <v>0</v>
      </c>
      <c r="Q11" s="38" t="e">
        <f>P11/AK8</f>
        <v>#DIV/0!</v>
      </c>
      <c r="R11" s="36">
        <f>GRADES!J11</f>
        <v>0</v>
      </c>
      <c r="S11" s="38">
        <f>R11/AL8</f>
        <v>0</v>
      </c>
      <c r="T11" s="36">
        <f>GRADES!K11</f>
        <v>0</v>
      </c>
      <c r="U11" s="38">
        <f>T11/AM8</f>
        <v>0</v>
      </c>
      <c r="V11" s="37">
        <f>GRADES!L11</f>
        <v>0</v>
      </c>
      <c r="W11" s="39">
        <f>V11/AN8</f>
        <v>0</v>
      </c>
      <c r="X11" s="37">
        <f>GRADES!M11</f>
        <v>0</v>
      </c>
      <c r="Y11" s="39">
        <f>X11/AO8</f>
        <v>0</v>
      </c>
      <c r="Z11" s="37">
        <f>GRADES!N11</f>
        <v>0</v>
      </c>
      <c r="AA11" s="39">
        <f>Z11/AP8</f>
        <v>0</v>
      </c>
      <c r="AB11" s="35"/>
    </row>
    <row r="12" spans="1:42" ht="21">
      <c r="A12" s="36" t="str">
        <f>GRADES!A12</f>
        <v xml:space="preserve">C </v>
      </c>
      <c r="B12" s="36">
        <f>GRADES!B12</f>
        <v>0</v>
      </c>
      <c r="C12" s="38">
        <f>B12/AD8</f>
        <v>0</v>
      </c>
      <c r="D12" s="36">
        <f>GRADES!C12</f>
        <v>0</v>
      </c>
      <c r="E12" s="38">
        <f>D12/AE8</f>
        <v>0</v>
      </c>
      <c r="F12" s="40">
        <f>GRADES!D12</f>
        <v>0</v>
      </c>
      <c r="G12" s="41" t="e">
        <f>F12/AF8</f>
        <v>#DIV/0!</v>
      </c>
      <c r="H12" s="40">
        <f>GRADES!E12</f>
        <v>0</v>
      </c>
      <c r="I12" s="41" t="e">
        <f>H12/AG8</f>
        <v>#DIV/0!</v>
      </c>
      <c r="J12" s="36">
        <f>GRADES!F12</f>
        <v>0</v>
      </c>
      <c r="K12" s="38">
        <f>J12/AH8</f>
        <v>0</v>
      </c>
      <c r="L12" s="36">
        <f>GRADES!G12</f>
        <v>0</v>
      </c>
      <c r="M12" s="38">
        <f>L12/AI8</f>
        <v>0</v>
      </c>
      <c r="N12" s="36">
        <f>GRADES!H12</f>
        <v>0</v>
      </c>
      <c r="O12" s="38">
        <f>N12/AJ8</f>
        <v>0</v>
      </c>
      <c r="P12" s="36">
        <f>GRADES!I12</f>
        <v>0</v>
      </c>
      <c r="Q12" s="38" t="e">
        <f>P12/AK8</f>
        <v>#DIV/0!</v>
      </c>
      <c r="R12" s="36">
        <f>GRADES!J12</f>
        <v>0</v>
      </c>
      <c r="S12" s="38">
        <f>R12/AL8</f>
        <v>0</v>
      </c>
      <c r="T12" s="36">
        <f>GRADES!K12</f>
        <v>0</v>
      </c>
      <c r="U12" s="38">
        <f>T12/AM8</f>
        <v>0</v>
      </c>
      <c r="V12" s="37">
        <f>GRADES!L12</f>
        <v>0</v>
      </c>
      <c r="W12" s="39">
        <f>V12/AN8</f>
        <v>0</v>
      </c>
      <c r="X12" s="37">
        <f>GRADES!M12</f>
        <v>0</v>
      </c>
      <c r="Y12" s="39">
        <f>X12/AO8</f>
        <v>0</v>
      </c>
      <c r="Z12" s="37">
        <f>GRADES!N12</f>
        <v>0</v>
      </c>
      <c r="AA12" s="39">
        <f>Z12/AP8</f>
        <v>0</v>
      </c>
      <c r="AB12" s="35"/>
    </row>
    <row r="13" spans="1:42" ht="21">
      <c r="A13" s="36" t="str">
        <f>GRADES!A13</f>
        <v>D+</v>
      </c>
      <c r="B13" s="36">
        <f>GRADES!B13</f>
        <v>0</v>
      </c>
      <c r="C13" s="38">
        <f>B13/AD8</f>
        <v>0</v>
      </c>
      <c r="D13" s="36">
        <f>GRADES!C13</f>
        <v>0</v>
      </c>
      <c r="E13" s="38">
        <f>D13/AE8</f>
        <v>0</v>
      </c>
      <c r="F13" s="40">
        <f>GRADES!D13</f>
        <v>0</v>
      </c>
      <c r="G13" s="41" t="e">
        <f>F13/AF8</f>
        <v>#DIV/0!</v>
      </c>
      <c r="H13" s="40">
        <f>GRADES!E13</f>
        <v>0</v>
      </c>
      <c r="I13" s="41" t="e">
        <f>H13/AG8</f>
        <v>#DIV/0!</v>
      </c>
      <c r="J13" s="36">
        <f>GRADES!F13</f>
        <v>0</v>
      </c>
      <c r="K13" s="38">
        <f>J13/AH8</f>
        <v>0</v>
      </c>
      <c r="L13" s="36">
        <f>GRADES!G13</f>
        <v>0</v>
      </c>
      <c r="M13" s="38">
        <f>L13/AI8</f>
        <v>0</v>
      </c>
      <c r="N13" s="36">
        <f>GRADES!H13</f>
        <v>0</v>
      </c>
      <c r="O13" s="38">
        <f>N13/AJ8</f>
        <v>0</v>
      </c>
      <c r="P13" s="36">
        <f>GRADES!I13</f>
        <v>0</v>
      </c>
      <c r="Q13" s="38" t="e">
        <f>P13/AK8</f>
        <v>#DIV/0!</v>
      </c>
      <c r="R13" s="36">
        <f>GRADES!J13</f>
        <v>0</v>
      </c>
      <c r="S13" s="38">
        <f>R13/AL8</f>
        <v>0</v>
      </c>
      <c r="T13" s="36">
        <f>GRADES!K13</f>
        <v>0</v>
      </c>
      <c r="U13" s="38">
        <f>T13/AM8</f>
        <v>0</v>
      </c>
      <c r="V13" s="37">
        <f>GRADES!L13</f>
        <v>0</v>
      </c>
      <c r="W13" s="39">
        <f>V13/AN8</f>
        <v>0</v>
      </c>
      <c r="X13" s="37">
        <f>GRADES!M13</f>
        <v>0</v>
      </c>
      <c r="Y13" s="39">
        <f>X13/AO8</f>
        <v>0</v>
      </c>
      <c r="Z13" s="37">
        <f>GRADES!N13</f>
        <v>0</v>
      </c>
      <c r="AA13" s="39">
        <f>Z13/AP8</f>
        <v>0</v>
      </c>
      <c r="AB13" s="35"/>
    </row>
    <row r="14" spans="1:42" ht="21">
      <c r="A14" s="36" t="str">
        <f>GRADES!A14</f>
        <v xml:space="preserve">D </v>
      </c>
      <c r="B14" s="36">
        <f>GRADES!B14</f>
        <v>0</v>
      </c>
      <c r="C14" s="38">
        <f>B14/AD8</f>
        <v>0</v>
      </c>
      <c r="D14" s="36">
        <f>GRADES!C14</f>
        <v>0</v>
      </c>
      <c r="E14" s="38">
        <f>D14/AE8</f>
        <v>0</v>
      </c>
      <c r="F14" s="40">
        <f>GRADES!D14</f>
        <v>0</v>
      </c>
      <c r="G14" s="41" t="e">
        <f>F14/AF8</f>
        <v>#DIV/0!</v>
      </c>
      <c r="H14" s="40">
        <f>GRADES!E14</f>
        <v>0</v>
      </c>
      <c r="I14" s="41" t="e">
        <f>H14/AG8</f>
        <v>#DIV/0!</v>
      </c>
      <c r="J14" s="36">
        <f>GRADES!F14</f>
        <v>0</v>
      </c>
      <c r="K14" s="38">
        <f>J14/AH8</f>
        <v>0</v>
      </c>
      <c r="L14" s="36">
        <f>GRADES!G14</f>
        <v>0</v>
      </c>
      <c r="M14" s="38">
        <f>L14/AI8</f>
        <v>0</v>
      </c>
      <c r="N14" s="36">
        <f>GRADES!H14</f>
        <v>0</v>
      </c>
      <c r="O14" s="38">
        <f>N14/AJ8</f>
        <v>0</v>
      </c>
      <c r="P14" s="36">
        <f>GRADES!I14</f>
        <v>0</v>
      </c>
      <c r="Q14" s="38" t="e">
        <f>P14/AK8</f>
        <v>#DIV/0!</v>
      </c>
      <c r="R14" s="36">
        <f>GRADES!J14</f>
        <v>0</v>
      </c>
      <c r="S14" s="38">
        <f>R14/AL8</f>
        <v>0</v>
      </c>
      <c r="T14" s="36">
        <f>GRADES!K14</f>
        <v>0</v>
      </c>
      <c r="U14" s="38">
        <f>T14/AM8</f>
        <v>0</v>
      </c>
      <c r="V14" s="37">
        <f>GRADES!L14</f>
        <v>0</v>
      </c>
      <c r="W14" s="39">
        <f>V14/AN8</f>
        <v>0</v>
      </c>
      <c r="X14" s="37">
        <f>GRADES!M14</f>
        <v>0</v>
      </c>
      <c r="Y14" s="39">
        <f>X14/AO8</f>
        <v>0</v>
      </c>
      <c r="Z14" s="37">
        <f>GRADES!N14</f>
        <v>0</v>
      </c>
      <c r="AA14" s="39">
        <f>Z14/AP8</f>
        <v>0</v>
      </c>
      <c r="AB14" s="35"/>
    </row>
    <row r="15" spans="1:42" ht="21">
      <c r="A15" s="36" t="str">
        <f>GRADES!A15</f>
        <v>E</v>
      </c>
      <c r="B15" s="36">
        <f>GRADES!B15</f>
        <v>0</v>
      </c>
      <c r="C15" s="38">
        <f>B15/AD8</f>
        <v>0</v>
      </c>
      <c r="D15" s="36">
        <f>GRADES!C15</f>
        <v>0</v>
      </c>
      <c r="E15" s="38">
        <f>D15/AE8</f>
        <v>0</v>
      </c>
      <c r="F15" s="40">
        <f>GRADES!D15</f>
        <v>0</v>
      </c>
      <c r="G15" s="41" t="e">
        <f>F15/AF8</f>
        <v>#DIV/0!</v>
      </c>
      <c r="H15" s="40">
        <f>GRADES!E15</f>
        <v>0</v>
      </c>
      <c r="I15" s="41" t="e">
        <f>H15/AG8</f>
        <v>#DIV/0!</v>
      </c>
      <c r="J15" s="36">
        <f>GRADES!F15</f>
        <v>0</v>
      </c>
      <c r="K15" s="38">
        <f>J15/AH8</f>
        <v>0</v>
      </c>
      <c r="L15" s="36">
        <f>GRADES!G15</f>
        <v>0</v>
      </c>
      <c r="M15" s="38">
        <f>L15/AI8</f>
        <v>0</v>
      </c>
      <c r="N15" s="36">
        <f>GRADES!H15</f>
        <v>0</v>
      </c>
      <c r="O15" s="38">
        <f>N15/AJ8</f>
        <v>0</v>
      </c>
      <c r="P15" s="36">
        <f>GRADES!I15</f>
        <v>0</v>
      </c>
      <c r="Q15" s="38" t="e">
        <f>P15/AK8</f>
        <v>#DIV/0!</v>
      </c>
      <c r="R15" s="36">
        <f>GRADES!J15</f>
        <v>0</v>
      </c>
      <c r="S15" s="38">
        <f>R15/AL8</f>
        <v>0</v>
      </c>
      <c r="T15" s="36">
        <f>GRADES!K15</f>
        <v>0</v>
      </c>
      <c r="U15" s="38">
        <f>T15/AM8</f>
        <v>0</v>
      </c>
      <c r="V15" s="37">
        <f>GRADES!L15</f>
        <v>0</v>
      </c>
      <c r="W15" s="39">
        <f>V15/AN8</f>
        <v>0</v>
      </c>
      <c r="X15" s="37">
        <f>GRADES!M15</f>
        <v>0</v>
      </c>
      <c r="Y15" s="39">
        <f>X15/AO8</f>
        <v>0</v>
      </c>
      <c r="Z15" s="37">
        <f>GRADES!N15</f>
        <v>0</v>
      </c>
      <c r="AA15" s="39">
        <f>Z15/AP8</f>
        <v>0</v>
      </c>
      <c r="AB15" s="35"/>
    </row>
    <row r="16" spans="1:42" ht="21">
      <c r="A16" s="36" t="str">
        <f>GRADES!A16</f>
        <v>TOTAL</v>
      </c>
      <c r="B16" s="36">
        <f>GRADES!B16</f>
        <v>0</v>
      </c>
      <c r="C16" s="38">
        <f>B16/AD8</f>
        <v>0</v>
      </c>
      <c r="D16" s="36">
        <f>GRADES!C16</f>
        <v>0</v>
      </c>
      <c r="E16" s="38">
        <f>D16/AE8</f>
        <v>0</v>
      </c>
      <c r="F16" s="40">
        <f>GRADES!D16</f>
        <v>15</v>
      </c>
      <c r="G16" s="41" t="e">
        <f>F16/AF8</f>
        <v>#DIV/0!</v>
      </c>
      <c r="H16" s="40">
        <f>GRADES!E16</f>
        <v>0</v>
      </c>
      <c r="I16" s="41" t="e">
        <f>H16/AG8</f>
        <v>#DIV/0!</v>
      </c>
      <c r="J16" s="36">
        <f>GRADES!F16</f>
        <v>0</v>
      </c>
      <c r="K16" s="38">
        <f>J16/AH8</f>
        <v>0</v>
      </c>
      <c r="L16" s="36">
        <f>GRADES!G16</f>
        <v>0</v>
      </c>
      <c r="M16" s="38">
        <f>L16/AI8</f>
        <v>0</v>
      </c>
      <c r="N16" s="36">
        <f>GRADES!H16</f>
        <v>0</v>
      </c>
      <c r="O16" s="38">
        <f>N16/AJ8</f>
        <v>0</v>
      </c>
      <c r="P16" s="36">
        <f>GRADES!I16</f>
        <v>0</v>
      </c>
      <c r="Q16" s="38" t="e">
        <f>P16/AK8</f>
        <v>#DIV/0!</v>
      </c>
      <c r="R16" s="36">
        <f>GRADES!J16</f>
        <v>0</v>
      </c>
      <c r="S16" s="38">
        <f>R16/AL8</f>
        <v>0</v>
      </c>
      <c r="T16" s="36">
        <f>GRADES!K16</f>
        <v>0</v>
      </c>
      <c r="U16" s="38">
        <f>T16/AM8</f>
        <v>0</v>
      </c>
      <c r="V16" s="37">
        <f>GRADES!L16</f>
        <v>15</v>
      </c>
      <c r="W16" s="39">
        <f>V16/AN8</f>
        <v>0.55555555555555558</v>
      </c>
      <c r="X16" s="37">
        <f>GRADES!M16</f>
        <v>0</v>
      </c>
      <c r="Y16" s="39">
        <f>X16/AO8</f>
        <v>0</v>
      </c>
      <c r="Z16" s="37">
        <f>GRADES!N16</f>
        <v>15</v>
      </c>
      <c r="AA16" s="39">
        <f>Z16/AP8</f>
        <v>0.28301886792452829</v>
      </c>
      <c r="AB16" s="35"/>
    </row>
  </sheetData>
  <mergeCells count="18">
    <mergeCell ref="V5:Y5"/>
    <mergeCell ref="Z5:AA5"/>
    <mergeCell ref="A1:AA1"/>
    <mergeCell ref="A2:AA2"/>
    <mergeCell ref="A3:AA3"/>
    <mergeCell ref="A4:AA4"/>
    <mergeCell ref="A5:A6"/>
    <mergeCell ref="B5:E5"/>
    <mergeCell ref="F5:I5"/>
    <mergeCell ref="J5:M5"/>
    <mergeCell ref="N5:Q5"/>
    <mergeCell ref="R5:U5"/>
    <mergeCell ref="AN6:AO6"/>
    <mergeCell ref="AD6:AE6"/>
    <mergeCell ref="AF6:AG6"/>
    <mergeCell ref="AH6:AI6"/>
    <mergeCell ref="AJ6:AK6"/>
    <mergeCell ref="AL6:AM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sqref="A1:A2"/>
    </sheetView>
  </sheetViews>
  <sheetFormatPr defaultRowHeight="15"/>
  <cols>
    <col min="2" max="2" width="38.140625" customWidth="1"/>
  </cols>
  <sheetData>
    <row r="1" spans="1:11">
      <c r="A1" s="52" t="s">
        <v>0</v>
      </c>
      <c r="B1" s="52" t="s">
        <v>52</v>
      </c>
      <c r="C1" s="52" t="s">
        <v>13</v>
      </c>
      <c r="D1" s="52"/>
      <c r="E1" s="52"/>
      <c r="F1" s="52" t="s">
        <v>50</v>
      </c>
      <c r="G1" s="52"/>
      <c r="H1" s="52"/>
      <c r="I1" s="52" t="s">
        <v>51</v>
      </c>
      <c r="J1" s="52"/>
      <c r="K1" s="52"/>
    </row>
    <row r="2" spans="1:11" ht="30">
      <c r="A2" s="52"/>
      <c r="B2" s="52"/>
      <c r="C2" s="31" t="s">
        <v>53</v>
      </c>
      <c r="D2" s="31" t="s">
        <v>54</v>
      </c>
      <c r="E2" s="31" t="s">
        <v>55</v>
      </c>
      <c r="F2" s="31" t="s">
        <v>53</v>
      </c>
      <c r="G2" s="31" t="s">
        <v>54</v>
      </c>
      <c r="H2" s="31" t="s">
        <v>55</v>
      </c>
      <c r="I2" s="31" t="s">
        <v>53</v>
      </c>
      <c r="J2" s="31" t="s">
        <v>54</v>
      </c>
      <c r="K2" s="31" t="s">
        <v>55</v>
      </c>
    </row>
    <row r="3" spans="1:11">
      <c r="A3" s="31">
        <v>1</v>
      </c>
      <c r="B3" s="31" t="s">
        <v>56</v>
      </c>
      <c r="C3" s="31">
        <f>F3+I3</f>
        <v>53</v>
      </c>
      <c r="D3" s="60">
        <f>G3+J3</f>
        <v>0</v>
      </c>
      <c r="E3" s="61">
        <f>D3/C3</f>
        <v>0</v>
      </c>
      <c r="F3" s="31">
        <v>16</v>
      </c>
      <c r="G3" s="60"/>
      <c r="H3" s="61">
        <f>G3/F3</f>
        <v>0</v>
      </c>
      <c r="I3" s="31">
        <v>37</v>
      </c>
      <c r="J3" s="31"/>
      <c r="K3" s="61">
        <f>J3/I3</f>
        <v>0</v>
      </c>
    </row>
    <row r="4" spans="1:11" ht="30">
      <c r="A4" s="31">
        <v>2</v>
      </c>
      <c r="B4" s="31" t="s">
        <v>61</v>
      </c>
      <c r="C4" s="31">
        <f>F4+I4</f>
        <v>75</v>
      </c>
      <c r="D4" s="60">
        <f>G4+J4</f>
        <v>0</v>
      </c>
      <c r="E4" s="61">
        <f>D4/C4</f>
        <v>0</v>
      </c>
      <c r="F4" s="43">
        <v>37</v>
      </c>
      <c r="G4" s="60"/>
      <c r="H4" s="61">
        <f>G4/F4</f>
        <v>0</v>
      </c>
      <c r="I4" s="31">
        <v>38</v>
      </c>
      <c r="J4" s="31"/>
      <c r="K4" s="61">
        <f>J4/I4</f>
        <v>0</v>
      </c>
    </row>
    <row r="5" spans="1:11">
      <c r="A5" s="31">
        <v>3</v>
      </c>
      <c r="B5" s="31" t="s">
        <v>68</v>
      </c>
      <c r="C5" s="31">
        <f>F5+I5</f>
        <v>137</v>
      </c>
      <c r="D5" s="60">
        <f>G5+J5</f>
        <v>0</v>
      </c>
      <c r="E5" s="61">
        <f>D5/C5</f>
        <v>0</v>
      </c>
      <c r="F5" s="43">
        <v>43</v>
      </c>
      <c r="G5" s="60"/>
      <c r="H5" s="61">
        <f>G5/F5</f>
        <v>0</v>
      </c>
      <c r="I5" s="31">
        <v>94</v>
      </c>
      <c r="J5" s="31"/>
      <c r="K5" s="61">
        <f>J5/I5</f>
        <v>0</v>
      </c>
    </row>
    <row r="6" spans="1:11" ht="30">
      <c r="A6" s="31">
        <v>4</v>
      </c>
      <c r="B6" s="31" t="s">
        <v>58</v>
      </c>
      <c r="C6" s="31">
        <f>F6+I6</f>
        <v>59</v>
      </c>
      <c r="D6" s="60">
        <f>G6+J6</f>
        <v>0</v>
      </c>
      <c r="E6" s="61">
        <f>D6/C6</f>
        <v>0</v>
      </c>
      <c r="F6" s="33"/>
      <c r="G6" s="62"/>
      <c r="H6" s="63"/>
      <c r="I6" s="31">
        <v>59</v>
      </c>
      <c r="J6" s="31"/>
      <c r="K6" s="61">
        <f>J6/I6</f>
        <v>0</v>
      </c>
    </row>
    <row r="7" spans="1:11" ht="30">
      <c r="A7" s="31">
        <v>5</v>
      </c>
      <c r="B7" s="31" t="s">
        <v>57</v>
      </c>
      <c r="C7" s="31">
        <f>F7+I7</f>
        <v>55</v>
      </c>
      <c r="D7" s="60">
        <f>G7+J7</f>
        <v>0</v>
      </c>
      <c r="E7" s="61">
        <f>D7/C7</f>
        <v>0</v>
      </c>
      <c r="F7" s="33"/>
      <c r="G7" s="62"/>
      <c r="H7" s="63"/>
      <c r="I7" s="31">
        <v>55</v>
      </c>
      <c r="J7" s="31"/>
      <c r="K7" s="61">
        <f>J7/I7</f>
        <v>0</v>
      </c>
    </row>
    <row r="8" spans="1:11">
      <c r="A8" s="31">
        <v>6</v>
      </c>
      <c r="B8" s="31" t="s">
        <v>62</v>
      </c>
      <c r="C8" s="31">
        <f>F8+I8</f>
        <v>78</v>
      </c>
      <c r="D8" s="60">
        <f>G8+J8</f>
        <v>0</v>
      </c>
      <c r="E8" s="61">
        <f>D8/C8</f>
        <v>0</v>
      </c>
      <c r="F8" s="31">
        <v>35</v>
      </c>
      <c r="G8" s="60"/>
      <c r="H8" s="61">
        <f>G8/F8</f>
        <v>0</v>
      </c>
      <c r="I8" s="31">
        <v>43</v>
      </c>
      <c r="J8" s="31"/>
      <c r="K8" s="61">
        <f>J8/I8</f>
        <v>0</v>
      </c>
    </row>
    <row r="9" spans="1:11" ht="30">
      <c r="A9" s="31">
        <v>7</v>
      </c>
      <c r="B9" s="31" t="s">
        <v>59</v>
      </c>
      <c r="C9" s="31">
        <f>F9+I9</f>
        <v>60</v>
      </c>
      <c r="D9" s="60">
        <f>G9+J9</f>
        <v>0</v>
      </c>
      <c r="E9" s="61">
        <f>D9/C9</f>
        <v>0</v>
      </c>
      <c r="F9" s="33"/>
      <c r="G9" s="62"/>
      <c r="H9" s="63"/>
      <c r="I9" s="31">
        <v>60</v>
      </c>
      <c r="J9" s="31"/>
      <c r="K9" s="61">
        <f>J9/I9</f>
        <v>0</v>
      </c>
    </row>
    <row r="10" spans="1:11">
      <c r="A10" s="31">
        <v>8</v>
      </c>
      <c r="B10" s="31" t="s">
        <v>60</v>
      </c>
      <c r="C10" s="31">
        <f>F10+I10</f>
        <v>62</v>
      </c>
      <c r="D10" s="60">
        <f>G10+J10</f>
        <v>0</v>
      </c>
      <c r="E10" s="61">
        <f>D10/C10</f>
        <v>0</v>
      </c>
      <c r="F10" s="31">
        <v>29</v>
      </c>
      <c r="G10" s="60"/>
      <c r="H10" s="61">
        <f>G10/F10</f>
        <v>0</v>
      </c>
      <c r="I10" s="31">
        <v>33</v>
      </c>
      <c r="J10" s="31"/>
      <c r="K10" s="61">
        <f>J10/I10</f>
        <v>0</v>
      </c>
    </row>
    <row r="11" spans="1:11">
      <c r="A11" s="31">
        <v>9</v>
      </c>
      <c r="B11" s="31" t="s">
        <v>64</v>
      </c>
      <c r="C11" s="31">
        <f>F11+I11</f>
        <v>108</v>
      </c>
      <c r="D11" s="60">
        <f>G11+J11</f>
        <v>0</v>
      </c>
      <c r="E11" s="61">
        <f>D11/C11</f>
        <v>0</v>
      </c>
      <c r="F11" s="31">
        <v>51</v>
      </c>
      <c r="G11" s="60"/>
      <c r="H11" s="61">
        <f>G11/F11</f>
        <v>0</v>
      </c>
      <c r="I11" s="31">
        <v>57</v>
      </c>
      <c r="J11" s="31"/>
      <c r="K11" s="61">
        <f>J11/I11</f>
        <v>0</v>
      </c>
    </row>
    <row r="12" spans="1:11">
      <c r="A12" s="31">
        <v>10</v>
      </c>
      <c r="B12" s="31" t="s">
        <v>65</v>
      </c>
      <c r="C12" s="31">
        <f>F12+I12</f>
        <v>109</v>
      </c>
      <c r="D12" s="60">
        <f>G12+J12</f>
        <v>0</v>
      </c>
      <c r="E12" s="61">
        <f>D12/C12</f>
        <v>0</v>
      </c>
      <c r="F12" s="31">
        <v>42</v>
      </c>
      <c r="G12" s="60"/>
      <c r="H12" s="61">
        <f>G12/F12</f>
        <v>0</v>
      </c>
      <c r="I12" s="31">
        <v>67</v>
      </c>
      <c r="J12" s="31"/>
      <c r="K12" s="61">
        <f>J12/I12</f>
        <v>0</v>
      </c>
    </row>
    <row r="13" spans="1:11" ht="30">
      <c r="A13" s="31">
        <v>11</v>
      </c>
      <c r="B13" s="31" t="s">
        <v>66</v>
      </c>
      <c r="C13" s="31">
        <f>F13+I13</f>
        <v>112</v>
      </c>
      <c r="D13" s="60">
        <f>G13+J13</f>
        <v>0</v>
      </c>
      <c r="E13" s="61">
        <f>D13/C13</f>
        <v>0</v>
      </c>
      <c r="F13" s="31">
        <v>47</v>
      </c>
      <c r="G13" s="60"/>
      <c r="H13" s="61">
        <f>G13/F13</f>
        <v>0</v>
      </c>
      <c r="I13" s="31">
        <v>65</v>
      </c>
      <c r="J13" s="31"/>
      <c r="K13" s="61">
        <f>J13/I13</f>
        <v>0</v>
      </c>
    </row>
    <row r="14" spans="1:11">
      <c r="A14" s="31">
        <v>12</v>
      </c>
      <c r="B14" s="31" t="s">
        <v>63</v>
      </c>
      <c r="C14" s="31">
        <f>F14+I14</f>
        <v>78</v>
      </c>
      <c r="D14" s="60">
        <f>G14+J14</f>
        <v>0</v>
      </c>
      <c r="E14" s="61">
        <f>D14/C14</f>
        <v>0</v>
      </c>
      <c r="F14" s="31">
        <v>22</v>
      </c>
      <c r="G14" s="60"/>
      <c r="H14" s="61">
        <f>G14/F14</f>
        <v>0</v>
      </c>
      <c r="I14" s="31">
        <v>56</v>
      </c>
      <c r="J14" s="31"/>
      <c r="K14" s="61">
        <f>J14/I14</f>
        <v>0</v>
      </c>
    </row>
    <row r="15" spans="1:11">
      <c r="A15" s="31">
        <v>13</v>
      </c>
      <c r="B15" s="31" t="s">
        <v>67</v>
      </c>
      <c r="C15" s="31">
        <f>F15+I15</f>
        <v>131</v>
      </c>
      <c r="D15" s="60">
        <f>G15+J15</f>
        <v>0</v>
      </c>
      <c r="E15" s="61">
        <f>D15/C15</f>
        <v>0</v>
      </c>
      <c r="F15" s="31">
        <v>41</v>
      </c>
      <c r="G15" s="60"/>
      <c r="H15" s="61">
        <f>G15/F15</f>
        <v>0</v>
      </c>
      <c r="I15" s="31">
        <v>90</v>
      </c>
      <c r="J15" s="31"/>
      <c r="K15" s="61">
        <f>J15/I15</f>
        <v>0</v>
      </c>
    </row>
  </sheetData>
  <autoFilter ref="A1:K15">
    <filterColumn colId="2" showButton="0"/>
    <filterColumn colId="3" showButton="0"/>
    <filterColumn colId="5" showButton="0"/>
    <filterColumn colId="6" showButton="0"/>
    <filterColumn colId="8" showButton="0"/>
    <filterColumn colId="9" showButton="0"/>
    <sortState ref="A4:K15">
      <sortCondition ref="A1:A15"/>
    </sortState>
  </autoFilter>
  <mergeCells count="5">
    <mergeCell ref="C1:E1"/>
    <mergeCell ref="F1:H1"/>
    <mergeCell ref="I1:K1"/>
    <mergeCell ref="A1:A2"/>
    <mergeCell ref="B1:B2"/>
  </mergeCells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RESULT</vt:lpstr>
      <vt:lpstr>G.P.A.</vt:lpstr>
      <vt:lpstr>GRADES</vt:lpstr>
      <vt:lpstr>GPA%</vt:lpstr>
      <vt:lpstr>GRADE%</vt:lpstr>
      <vt:lpstr>MRC</vt:lpstr>
      <vt:lpstr>MRC!Print_Area</vt:lpstr>
    </vt:vector>
  </TitlesOfParts>
  <Company>DANAVAIPETA MUNICIPAL CORPORATION HIGH 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HEAD MASTER</dc:creator>
  <cp:lastModifiedBy>HEAD MASTER</cp:lastModifiedBy>
  <cp:lastPrinted>2015-05-22T07:29:04Z</cp:lastPrinted>
  <dcterms:created xsi:type="dcterms:W3CDTF">2015-05-14T13:54:36Z</dcterms:created>
  <dcterms:modified xsi:type="dcterms:W3CDTF">2015-05-22T07:29:26Z</dcterms:modified>
</cp:coreProperties>
</file>